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5521" yWindow="285" windowWidth="11970" windowHeight="2970" tabRatio="823" activeTab="0"/>
  </bookViews>
  <sheets>
    <sheet name="Exp" sheetId="1" r:id="rId1"/>
    <sheet name="Imp" sheetId="2" r:id="rId2"/>
    <sheet name="Part" sheetId="3" r:id="rId3"/>
    <sheet name="ExpRM" sheetId="4" r:id="rId4"/>
    <sheet name="ImpRM" sheetId="5" r:id="rId5"/>
    <sheet name="SC RM" sheetId="6" r:id="rId6"/>
  </sheets>
  <definedNames>
    <definedName name="_xlnm.Print_Area" localSheetId="0">'Exp'!$A$1:$L$62</definedName>
    <definedName name="_xlnm.Print_Area" localSheetId="3">'ExpRM'!$A$1:$L$74</definedName>
    <definedName name="_xlnm.Print_Area" localSheetId="4">'ImpRM'!$A$1:$L$75</definedName>
    <definedName name="_xlnm.Print_Area" localSheetId="2">'Part'!$A$1:$O$61</definedName>
    <definedName name="_xlnm.Print_Area" localSheetId="5">'SC RM'!$A$1:$L$58</definedName>
  </definedNames>
  <calcPr fullCalcOnLoad="1"/>
</workbook>
</file>

<file path=xl/sharedStrings.xml><?xml version="1.0" encoding="utf-8"?>
<sst xmlns="http://schemas.openxmlformats.org/spreadsheetml/2006/main" count="380" uniqueCount="72">
  <si>
    <t>PAÍS</t>
  </si>
  <si>
    <t>Argentina</t>
  </si>
  <si>
    <t>Bolivia</t>
  </si>
  <si>
    <t>Brasil</t>
  </si>
  <si>
    <t>Chile</t>
  </si>
  <si>
    <t>Colombia</t>
  </si>
  <si>
    <t>ALADI</t>
  </si>
  <si>
    <t>Cuba</t>
  </si>
  <si>
    <t>México</t>
  </si>
  <si>
    <t>Paraguay</t>
  </si>
  <si>
    <t>Perú</t>
  </si>
  <si>
    <t>Uruguay</t>
  </si>
  <si>
    <t>Venezuela</t>
  </si>
  <si>
    <t>Estados Unidos</t>
  </si>
  <si>
    <t>Japón</t>
  </si>
  <si>
    <t>China</t>
  </si>
  <si>
    <t>Ecuador</t>
  </si>
  <si>
    <t>EXPORTACIONES POR PAÍS COPARTÍCIPE DE LA ALADI</t>
  </si>
  <si>
    <t>Total</t>
  </si>
  <si>
    <t>IMPORTACIONES POR PAÍS COPARTÍCIPE DE LA ALADI</t>
  </si>
  <si>
    <t>EXPORTACIONES POR ÁREA GEOECONÓMICA</t>
  </si>
  <si>
    <t>IMPORTACIONES POR ÁREA GEOECONÓMICA</t>
  </si>
  <si>
    <t>Otras Áreas</t>
  </si>
  <si>
    <t>Total Global</t>
  </si>
  <si>
    <t>R. del Mundo</t>
  </si>
  <si>
    <t>País exportador (informante):</t>
  </si>
  <si>
    <t>País importador (informante):</t>
  </si>
  <si>
    <t>E.R.I.</t>
  </si>
  <si>
    <t>SALDO COMERCIAL POR ÁREA GEOECONÓMICA</t>
  </si>
  <si>
    <t xml:space="preserve"> ALADI</t>
  </si>
  <si>
    <t>Ar.</t>
  </si>
  <si>
    <t>Bo.</t>
  </si>
  <si>
    <t>Br.</t>
  </si>
  <si>
    <t>Ch.</t>
  </si>
  <si>
    <t>Ec.</t>
  </si>
  <si>
    <t>Mé.</t>
  </si>
  <si>
    <t>En millones de dólares y porcentajes</t>
  </si>
  <si>
    <t>Pe.</t>
  </si>
  <si>
    <t>Ur.</t>
  </si>
  <si>
    <t>En millones de dólares</t>
  </si>
  <si>
    <t>Co.</t>
  </si>
  <si>
    <t>Pa.</t>
  </si>
  <si>
    <t xml:space="preserve"> Fuente: elaboración propia en base a información oficial de los países miembros</t>
  </si>
  <si>
    <t>*</t>
  </si>
  <si>
    <t>País</t>
  </si>
  <si>
    <t>País exportador:</t>
  </si>
  <si>
    <t>Importador</t>
  </si>
  <si>
    <t>sd</t>
  </si>
  <si>
    <t xml:space="preserve"> Fuente: elaborado en base a información oficial de los países miembros</t>
  </si>
  <si>
    <t>U. Europea</t>
  </si>
  <si>
    <t>Canadá</t>
  </si>
  <si>
    <t>Cu.</t>
  </si>
  <si>
    <t>Ve.</t>
  </si>
  <si>
    <t>CA y Caribe</t>
  </si>
  <si>
    <t>ARGENTINA, BOLIVIA, BRASIL, CHILE, COLOMBIA, ECUADOR, MÉXICO, PARAGUAY, PERÚ Y URUGUAY</t>
  </si>
  <si>
    <t>Contribución al crecimiento</t>
  </si>
  <si>
    <t>En porcentajes</t>
  </si>
  <si>
    <t xml:space="preserve">U. Europea </t>
  </si>
  <si>
    <t>CUADRO A1</t>
  </si>
  <si>
    <t>CUADRO A2</t>
  </si>
  <si>
    <t>CUADRO A3</t>
  </si>
  <si>
    <t>CUADRO A4</t>
  </si>
  <si>
    <t>CUADRO A5</t>
  </si>
  <si>
    <t>CUADRO A6</t>
  </si>
  <si>
    <t>Panamá</t>
  </si>
  <si>
    <t>Pan.</t>
  </si>
  <si>
    <t>Par.</t>
  </si>
  <si>
    <t xml:space="preserve"> Nota: importaciones a valores CIF excepto Brasil y México a valores FOB</t>
  </si>
  <si>
    <t>ARGENTINA, BOLIVIA, BRASIL, CHILE, COLOMBIA, ECUADOR, MÉXICO, PARAGUAY, PERÚ, URUGUAY Y VENEZUELA</t>
  </si>
  <si>
    <t>Se destacan en negrita las participaciones superiores al 2%</t>
  </si>
  <si>
    <t>Enero-setiembre 2012-2013</t>
  </si>
  <si>
    <t xml:space="preserve">PARTICIPACIÓN DE LOS FLUJOS BILATERALES EN EL COMERCIO INTRARREGIONAL </t>
  </si>
</sst>
</file>

<file path=xl/styles.xml><?xml version="1.0" encoding="utf-8"?>
<styleSheet xmlns="http://schemas.openxmlformats.org/spreadsheetml/2006/main">
  <numFmts count="55">
    <numFmt numFmtId="5" formatCode="&quot;$U&quot;\ #,##0_);\(&quot;$U&quot;\ #,##0\)"/>
    <numFmt numFmtId="6" formatCode="&quot;$U&quot;\ #,##0_);[Red]\(&quot;$U&quot;\ #,##0\)"/>
    <numFmt numFmtId="7" formatCode="&quot;$U&quot;\ #,##0.00_);\(&quot;$U&quot;\ #,##0.00\)"/>
    <numFmt numFmtId="8" formatCode="&quot;$U&quot;\ #,##0.00_);[Red]\(&quot;$U&quot;\ #,##0.00\)"/>
    <numFmt numFmtId="42" formatCode="_(&quot;$U&quot;\ * #,##0_);_(&quot;$U&quot;\ * \(#,##0\);_(&quot;$U&quot;\ * &quot;-&quot;_);_(@_)"/>
    <numFmt numFmtId="41" formatCode="_(* #,##0_);_(* \(#,##0\);_(* &quot;-&quot;_);_(@_)"/>
    <numFmt numFmtId="44" formatCode="_(&quot;$U&quot;\ * #,##0.00_);_(&quot;$U&quot;\ * \(#,##0.00\);_(&quot;$U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 &quot;$U&quot;\ * #,##0_ ;_ &quot;$U&quot;\ * \-#,##0_ ;_ &quot;$U&quot;\ * &quot;-&quot;_ ;_ @_ "/>
    <numFmt numFmtId="173" formatCode="_ * #,##0_ ;_ * \-#,##0_ ;_ * &quot;-&quot;_ ;_ @_ "/>
    <numFmt numFmtId="174" formatCode="_ &quot;$U&quot;\ * #,##0.00_ ;_ &quot;$U&quot;\ * \-#,##0.00_ ;_ &quot;$U&quot;\ * &quot;-&quot;??_ ;_ @_ "/>
    <numFmt numFmtId="175" formatCode="_ * #,##0.00_ ;_ * \-#,##0.00_ ;_ * &quot;-&quot;??_ ;_ @_ "/>
    <numFmt numFmtId="176" formatCode="0.0"/>
    <numFmt numFmtId="177" formatCode="#\ ###\ ##0_);\-#\ ###\ ##0_)"/>
    <numFmt numFmtId="178" formatCode="#,##0.0__"/>
    <numFmt numFmtId="179" formatCode="0.000"/>
    <numFmt numFmtId="180" formatCode="0.0____"/>
    <numFmt numFmtId="181" formatCode="#,##0__"/>
    <numFmt numFmtId="182" formatCode="0.0__"/>
    <numFmt numFmtId="183" formatCode="0.0%"/>
    <numFmt numFmtId="184" formatCode="#,##0.000__"/>
    <numFmt numFmtId="185" formatCode="__@"/>
    <numFmt numFmtId="186" formatCode="__General"/>
    <numFmt numFmtId="187" formatCode="#,##0.0"/>
    <numFmt numFmtId="188" formatCode="_ * #,##0_ ;_ * \-#,##0_ ;_ * &quot;-&quot;??_ ;_ @_ "/>
    <numFmt numFmtId="189" formatCode="#,##0.00__"/>
    <numFmt numFmtId="190" formatCode="0.0000"/>
    <numFmt numFmtId="191" formatCode="@__"/>
    <numFmt numFmtId="192" formatCode="@____"/>
    <numFmt numFmtId="193" formatCode="#.\ ###\ ##0_);\-#.\ ###\ ##0_)"/>
    <numFmt numFmtId="194" formatCode="#,##0.000"/>
    <numFmt numFmtId="195" formatCode="0.0______"/>
    <numFmt numFmtId="196" formatCode="0.0________"/>
    <numFmt numFmtId="197" formatCode="#,##0____"/>
    <numFmt numFmtId="198" formatCode="General_)"/>
    <numFmt numFmtId="199" formatCode="0.000000"/>
    <numFmt numFmtId="200" formatCode="0.00000"/>
    <numFmt numFmtId="201" formatCode="_-* #,##0.00_-;\-* #,##0.00_-;_-* &quot;-&quot;??_-;_-@_-"/>
    <numFmt numFmtId="202" formatCode="_-* #,##0_-;\-* #,##0_-;_-* &quot;-&quot;??_-;_-@_-"/>
    <numFmt numFmtId="203" formatCode="_-* #,##0\ _€_-;\-* #,##0\ _€_-;_-* &quot;-&quot;??\ _€_-;_-@_-"/>
    <numFmt numFmtId="204" formatCode="_ * #,##0.0_ ;_ * \-#,##0.0_ ;_ * &quot;-&quot;??_ ;_ @_ "/>
    <numFmt numFmtId="205" formatCode="0.00000000"/>
    <numFmt numFmtId="206" formatCode="0.000000000"/>
    <numFmt numFmtId="207" formatCode="0.0000000"/>
    <numFmt numFmtId="208" formatCode="_(* #,##0_);_(* \(#,##0\);_(* &quot;-&quot;??_);_(@_)"/>
    <numFmt numFmtId="209" formatCode="0.00____"/>
    <numFmt numFmtId="210" formatCode="0.000____"/>
  </numFmts>
  <fonts count="46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u val="single"/>
      <sz val="11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5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7" fillId="30" borderId="0" applyNumberFormat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96">
    <xf numFmtId="0" fontId="0" fillId="0" borderId="0" xfId="0" applyAlignment="1">
      <alignment/>
    </xf>
    <xf numFmtId="0" fontId="2" fillId="0" borderId="0" xfId="33" applyFont="1" applyAlignment="1">
      <alignment/>
    </xf>
    <xf numFmtId="177" fontId="0" fillId="0" borderId="0" xfId="33" applyNumberFormat="1" applyFont="1" applyAlignment="1">
      <alignment/>
    </xf>
    <xf numFmtId="0" fontId="7" fillId="0" borderId="0" xfId="33" applyFont="1" applyAlignment="1">
      <alignment/>
    </xf>
    <xf numFmtId="176" fontId="0" fillId="0" borderId="0" xfId="33" applyNumberFormat="1" applyFont="1" applyAlignment="1">
      <alignment/>
    </xf>
    <xf numFmtId="0" fontId="0" fillId="0" borderId="0" xfId="33" applyFont="1" applyAlignment="1">
      <alignment/>
    </xf>
    <xf numFmtId="0" fontId="0" fillId="0" borderId="0" xfId="33" applyFont="1" applyAlignment="1">
      <alignment/>
    </xf>
    <xf numFmtId="0" fontId="7" fillId="0" borderId="0" xfId="33" applyFont="1" applyAlignment="1">
      <alignment/>
    </xf>
    <xf numFmtId="178" fontId="0" fillId="0" borderId="0" xfId="33" applyNumberFormat="1" applyFont="1" applyAlignment="1">
      <alignment/>
    </xf>
    <xf numFmtId="177" fontId="7" fillId="0" borderId="0" xfId="33" applyNumberFormat="1" applyFont="1" applyAlignment="1">
      <alignment/>
    </xf>
    <xf numFmtId="177" fontId="7" fillId="0" borderId="0" xfId="33" applyNumberFormat="1" applyFont="1" applyAlignment="1">
      <alignment/>
    </xf>
    <xf numFmtId="3" fontId="0" fillId="0" borderId="0" xfId="33" applyNumberFormat="1" applyFont="1" applyAlignment="1">
      <alignment/>
    </xf>
    <xf numFmtId="0" fontId="9" fillId="0" borderId="0" xfId="33" applyFont="1" applyAlignment="1">
      <alignment/>
    </xf>
    <xf numFmtId="181" fontId="0" fillId="0" borderId="0" xfId="33" applyNumberFormat="1" applyFont="1" applyAlignment="1">
      <alignment/>
    </xf>
    <xf numFmtId="176" fontId="9" fillId="0" borderId="0" xfId="33" applyNumberFormat="1" applyFont="1" applyBorder="1" applyAlignment="1">
      <alignment/>
    </xf>
    <xf numFmtId="179" fontId="0" fillId="0" borderId="0" xfId="33" applyNumberFormat="1" applyFont="1" applyAlignment="1">
      <alignment/>
    </xf>
    <xf numFmtId="181" fontId="0" fillId="0" borderId="0" xfId="33" applyNumberFormat="1" applyFont="1" applyAlignment="1">
      <alignment/>
    </xf>
    <xf numFmtId="181" fontId="0" fillId="0" borderId="0" xfId="33" applyNumberFormat="1" applyFont="1" applyAlignment="1" applyProtection="1">
      <alignment/>
      <protection/>
    </xf>
    <xf numFmtId="181" fontId="8" fillId="0" borderId="0" xfId="33" applyNumberFormat="1" applyFont="1" applyAlignment="1" applyProtection="1">
      <alignment/>
      <protection/>
    </xf>
    <xf numFmtId="187" fontId="0" fillId="0" borderId="0" xfId="33" applyNumberFormat="1" applyFont="1" applyAlignment="1">
      <alignment/>
    </xf>
    <xf numFmtId="0" fontId="0" fillId="0" borderId="0" xfId="33" applyFont="1" applyAlignment="1">
      <alignment vertical="center"/>
    </xf>
    <xf numFmtId="0" fontId="0" fillId="0" borderId="0" xfId="33" applyFont="1" applyFill="1" applyBorder="1" applyAlignment="1">
      <alignment/>
    </xf>
    <xf numFmtId="181" fontId="0" fillId="0" borderId="0" xfId="33" applyNumberFormat="1" applyFont="1" applyAlignment="1">
      <alignment/>
    </xf>
    <xf numFmtId="178" fontId="8" fillId="0" borderId="0" xfId="33" applyNumberFormat="1" applyFont="1" applyAlignment="1" applyProtection="1">
      <alignment/>
      <protection/>
    </xf>
    <xf numFmtId="190" fontId="0" fillId="0" borderId="0" xfId="33" applyNumberFormat="1" applyFont="1" applyAlignment="1">
      <alignment/>
    </xf>
    <xf numFmtId="193" fontId="0" fillId="0" borderId="0" xfId="33" applyNumberFormat="1" applyFont="1" applyAlignment="1">
      <alignment/>
    </xf>
    <xf numFmtId="181" fontId="2" fillId="0" borderId="0" xfId="0" applyNumberFormat="1" applyFont="1" applyAlignment="1" applyProtection="1">
      <alignment/>
      <protection/>
    </xf>
    <xf numFmtId="3" fontId="0" fillId="0" borderId="0" xfId="0" applyNumberFormat="1" applyAlignment="1">
      <alignment/>
    </xf>
    <xf numFmtId="181" fontId="0" fillId="0" borderId="0" xfId="0" applyNumberFormat="1" applyAlignment="1">
      <alignment/>
    </xf>
    <xf numFmtId="197" fontId="2" fillId="0" borderId="0" xfId="0" applyNumberFormat="1" applyFont="1" applyAlignment="1" applyProtection="1">
      <alignment horizontal="right" vertical="center"/>
      <protection/>
    </xf>
    <xf numFmtId="181" fontId="2" fillId="0" borderId="0" xfId="0" applyNumberFormat="1" applyFont="1" applyBorder="1" applyAlignment="1" applyProtection="1">
      <alignment/>
      <protection/>
    </xf>
    <xf numFmtId="176" fontId="0" fillId="0" borderId="0" xfId="0" applyNumberFormat="1" applyAlignment="1">
      <alignment/>
    </xf>
    <xf numFmtId="181" fontId="7" fillId="0" borderId="0" xfId="33" applyNumberFormat="1" applyFont="1" applyAlignment="1">
      <alignment/>
    </xf>
    <xf numFmtId="182" fontId="0" fillId="0" borderId="0" xfId="0" applyNumberFormat="1" applyAlignment="1">
      <alignment/>
    </xf>
    <xf numFmtId="0" fontId="1" fillId="33" borderId="0" xfId="33" applyFont="1" applyFill="1" applyAlignment="1" applyProtection="1">
      <alignment horizontal="left"/>
      <protection/>
    </xf>
    <xf numFmtId="0" fontId="0" fillId="33" borderId="0" xfId="0" applyFill="1" applyAlignment="1">
      <alignment/>
    </xf>
    <xf numFmtId="0" fontId="4" fillId="33" borderId="0" xfId="33" applyFont="1" applyFill="1" applyAlignment="1" applyProtection="1">
      <alignment horizontal="left"/>
      <protection/>
    </xf>
    <xf numFmtId="0" fontId="0" fillId="33" borderId="0" xfId="33" applyFont="1" applyFill="1" applyAlignment="1" applyProtection="1">
      <alignment horizontal="left"/>
      <protection/>
    </xf>
    <xf numFmtId="0" fontId="0" fillId="33" borderId="10" xfId="33" applyFont="1" applyFill="1" applyBorder="1" applyAlignment="1">
      <alignment/>
    </xf>
    <xf numFmtId="0" fontId="12" fillId="33" borderId="0" xfId="33" applyFont="1" applyFill="1" applyAlignment="1">
      <alignment horizontal="centerContinuous" vertical="center"/>
    </xf>
    <xf numFmtId="0" fontId="0" fillId="33" borderId="0" xfId="33" applyFont="1" applyFill="1" applyAlignment="1">
      <alignment horizontal="centerContinuous" vertical="center"/>
    </xf>
    <xf numFmtId="0" fontId="0" fillId="33" borderId="0" xfId="33" applyFont="1" applyFill="1" applyAlignment="1">
      <alignment horizontal="center" vertical="center"/>
    </xf>
    <xf numFmtId="0" fontId="3" fillId="33" borderId="0" xfId="33" applyFont="1" applyFill="1" applyBorder="1" applyAlignment="1" applyProtection="1">
      <alignment horizontal="centerContinuous" vertical="center"/>
      <protection/>
    </xf>
    <xf numFmtId="0" fontId="0" fillId="33" borderId="0" xfId="33" applyFont="1" applyFill="1" applyAlignment="1" applyProtection="1">
      <alignment horizontal="left"/>
      <protection/>
    </xf>
    <xf numFmtId="182" fontId="0" fillId="33" borderId="0" xfId="33" applyNumberFormat="1" applyFont="1" applyFill="1" applyBorder="1" applyAlignment="1">
      <alignment horizontal="center"/>
    </xf>
    <xf numFmtId="182" fontId="0" fillId="33" borderId="0" xfId="33" applyNumberFormat="1" applyFont="1" applyFill="1" applyBorder="1" applyAlignment="1">
      <alignment/>
    </xf>
    <xf numFmtId="182" fontId="0" fillId="33" borderId="0" xfId="33" applyNumberFormat="1" applyFont="1" applyFill="1" applyAlignment="1">
      <alignment/>
    </xf>
    <xf numFmtId="0" fontId="0" fillId="33" borderId="0" xfId="33" applyFont="1" applyFill="1" applyAlignment="1">
      <alignment/>
    </xf>
    <xf numFmtId="191" fontId="0" fillId="33" borderId="0" xfId="33" applyNumberFormat="1" applyFont="1" applyFill="1" applyBorder="1" applyAlignment="1">
      <alignment horizontal="right"/>
    </xf>
    <xf numFmtId="182" fontId="0" fillId="33" borderId="0" xfId="33" applyNumberFormat="1" applyFont="1" applyFill="1" applyAlignment="1">
      <alignment/>
    </xf>
    <xf numFmtId="180" fontId="0" fillId="33" borderId="0" xfId="33" applyNumberFormat="1" applyFont="1" applyFill="1" applyAlignment="1">
      <alignment/>
    </xf>
    <xf numFmtId="0" fontId="8" fillId="33" borderId="0" xfId="33" applyFont="1" applyFill="1" applyAlignment="1" applyProtection="1">
      <alignment horizontal="left"/>
      <protection/>
    </xf>
    <xf numFmtId="180" fontId="0" fillId="33" borderId="0" xfId="33" applyNumberFormat="1" applyFont="1" applyFill="1" applyAlignment="1">
      <alignment/>
    </xf>
    <xf numFmtId="0" fontId="0" fillId="33" borderId="0" xfId="33" applyFont="1" applyFill="1" applyBorder="1" applyAlignment="1">
      <alignment/>
    </xf>
    <xf numFmtId="0" fontId="3" fillId="33" borderId="0" xfId="33" applyFont="1" applyFill="1" applyBorder="1" applyAlignment="1" applyProtection="1">
      <alignment vertical="center"/>
      <protection/>
    </xf>
    <xf numFmtId="176" fontId="0" fillId="33" borderId="0" xfId="33" applyNumberFormat="1" applyFont="1" applyFill="1" applyBorder="1" applyAlignment="1">
      <alignment/>
    </xf>
    <xf numFmtId="0" fontId="9" fillId="33" borderId="0" xfId="33" applyFont="1" applyFill="1" applyAlignment="1">
      <alignment/>
    </xf>
    <xf numFmtId="176" fontId="9" fillId="33" borderId="0" xfId="33" applyNumberFormat="1" applyFont="1" applyFill="1" applyBorder="1" applyAlignment="1">
      <alignment/>
    </xf>
    <xf numFmtId="3" fontId="0" fillId="33" borderId="0" xfId="33" applyNumberFormat="1" applyFont="1" applyFill="1" applyAlignment="1">
      <alignment/>
    </xf>
    <xf numFmtId="0" fontId="0" fillId="33" borderId="10" xfId="33" applyFont="1" applyFill="1" applyBorder="1" applyAlignment="1">
      <alignment/>
    </xf>
    <xf numFmtId="0" fontId="2" fillId="33" borderId="11" xfId="33" applyFont="1" applyFill="1" applyBorder="1" applyAlignment="1">
      <alignment/>
    </xf>
    <xf numFmtId="0" fontId="5" fillId="33" borderId="0" xfId="33" applyFont="1" applyFill="1" applyAlignment="1">
      <alignment horizontal="centerContinuous"/>
    </xf>
    <xf numFmtId="0" fontId="0" fillId="33" borderId="0" xfId="33" applyFont="1" applyFill="1" applyAlignment="1">
      <alignment horizontal="centerContinuous"/>
    </xf>
    <xf numFmtId="0" fontId="2" fillId="33" borderId="0" xfId="33" applyFont="1" applyFill="1" applyAlignment="1">
      <alignment/>
    </xf>
    <xf numFmtId="181" fontId="0" fillId="33" borderId="0" xfId="33" applyNumberFormat="1" applyFont="1" applyFill="1" applyAlignment="1" applyProtection="1">
      <alignment/>
      <protection/>
    </xf>
    <xf numFmtId="181" fontId="8" fillId="33" borderId="0" xfId="33" applyNumberFormat="1" applyFont="1" applyFill="1" applyAlignment="1" applyProtection="1">
      <alignment/>
      <protection/>
    </xf>
    <xf numFmtId="178" fontId="0" fillId="33" borderId="0" xfId="33" applyNumberFormat="1" applyFont="1" applyFill="1" applyAlignment="1">
      <alignment/>
    </xf>
    <xf numFmtId="178" fontId="8" fillId="33" borderId="0" xfId="33" applyNumberFormat="1" applyFont="1" applyFill="1" applyAlignment="1">
      <alignment/>
    </xf>
    <xf numFmtId="176" fontId="0" fillId="33" borderId="10" xfId="33" applyNumberFormat="1" applyFont="1" applyFill="1" applyBorder="1" applyAlignment="1">
      <alignment/>
    </xf>
    <xf numFmtId="0" fontId="0" fillId="33" borderId="0" xfId="33" applyFont="1" applyFill="1" applyBorder="1" applyAlignment="1">
      <alignment/>
    </xf>
    <xf numFmtId="176" fontId="0" fillId="33" borderId="0" xfId="33" applyNumberFormat="1" applyFont="1" applyFill="1" applyBorder="1" applyAlignment="1">
      <alignment/>
    </xf>
    <xf numFmtId="181" fontId="0" fillId="33" borderId="0" xfId="33" applyNumberFormat="1" applyFont="1" applyFill="1" applyAlignment="1" applyProtection="1">
      <alignment/>
      <protection/>
    </xf>
    <xf numFmtId="0" fontId="0" fillId="33" borderId="0" xfId="0" applyFont="1" applyFill="1" applyAlignment="1">
      <alignment/>
    </xf>
    <xf numFmtId="181" fontId="0" fillId="33" borderId="0" xfId="0" applyNumberFormat="1" applyFill="1" applyAlignment="1">
      <alignment/>
    </xf>
    <xf numFmtId="0" fontId="0" fillId="33" borderId="0" xfId="33" applyFont="1" applyFill="1" applyAlignment="1">
      <alignment/>
    </xf>
    <xf numFmtId="0" fontId="8" fillId="33" borderId="0" xfId="33" applyFont="1" applyFill="1" applyAlignment="1" applyProtection="1">
      <alignment horizontal="left"/>
      <protection/>
    </xf>
    <xf numFmtId="3" fontId="0" fillId="33" borderId="0" xfId="33" applyNumberFormat="1" applyFont="1" applyFill="1" applyAlignment="1">
      <alignment horizontal="centerContinuous"/>
    </xf>
    <xf numFmtId="3" fontId="0" fillId="33" borderId="0" xfId="0" applyNumberFormat="1" applyFill="1" applyAlignment="1">
      <alignment/>
    </xf>
    <xf numFmtId="3" fontId="5" fillId="33" borderId="0" xfId="33" applyNumberFormat="1" applyFont="1" applyFill="1" applyAlignment="1">
      <alignment horizontal="centerContinuous"/>
    </xf>
    <xf numFmtId="188" fontId="0" fillId="33" borderId="0" xfId="49" applyNumberFormat="1" applyFont="1" applyFill="1" applyAlignment="1" applyProtection="1">
      <alignment/>
      <protection/>
    </xf>
    <xf numFmtId="0" fontId="0" fillId="33" borderId="0" xfId="33" applyFont="1" applyFill="1" applyAlignment="1" applyProtection="1">
      <alignment horizontal="left"/>
      <protection/>
    </xf>
    <xf numFmtId="182" fontId="2" fillId="0" borderId="0" xfId="33" applyNumberFormat="1" applyFont="1" applyAlignment="1">
      <alignment/>
    </xf>
    <xf numFmtId="179" fontId="0" fillId="0" borderId="0" xfId="33" applyNumberFormat="1" applyFont="1" applyAlignment="1">
      <alignment/>
    </xf>
    <xf numFmtId="1" fontId="0" fillId="33" borderId="0" xfId="33" applyNumberFormat="1" applyFont="1" applyFill="1" applyBorder="1" applyAlignment="1">
      <alignment horizontal="center"/>
    </xf>
    <xf numFmtId="1" fontId="0" fillId="33" borderId="0" xfId="33" applyNumberFormat="1" applyFont="1" applyFill="1" applyBorder="1" applyAlignment="1">
      <alignment/>
    </xf>
    <xf numFmtId="1" fontId="0" fillId="33" borderId="0" xfId="33" applyNumberFormat="1" applyFont="1" applyFill="1" applyAlignment="1">
      <alignment/>
    </xf>
    <xf numFmtId="1" fontId="0" fillId="33" borderId="0" xfId="33" applyNumberFormat="1" applyFont="1" applyFill="1" applyBorder="1" applyAlignment="1">
      <alignment horizontal="right"/>
    </xf>
    <xf numFmtId="1" fontId="0" fillId="33" borderId="0" xfId="33" applyNumberFormat="1" applyFont="1" applyFill="1" applyAlignment="1">
      <alignment/>
    </xf>
    <xf numFmtId="0" fontId="3" fillId="33" borderId="10" xfId="33" applyFont="1" applyFill="1" applyBorder="1" applyAlignment="1" applyProtection="1">
      <alignment horizontal="centerContinuous" vertical="center"/>
      <protection/>
    </xf>
    <xf numFmtId="0" fontId="3" fillId="33" borderId="10" xfId="33" applyFont="1" applyFill="1" applyBorder="1" applyAlignment="1" applyProtection="1">
      <alignment horizontal="center" vertical="center"/>
      <protection/>
    </xf>
    <xf numFmtId="0" fontId="3" fillId="33" borderId="0" xfId="33" applyFont="1" applyFill="1" applyAlignment="1">
      <alignment horizontal="center" vertical="center"/>
    </xf>
    <xf numFmtId="0" fontId="3" fillId="33" borderId="12" xfId="33" applyFont="1" applyFill="1" applyBorder="1" applyAlignment="1" applyProtection="1">
      <alignment horizontal="centerContinuous" vertical="center"/>
      <protection/>
    </xf>
    <xf numFmtId="0" fontId="3" fillId="33" borderId="12" xfId="33" applyFont="1" applyFill="1" applyBorder="1" applyAlignment="1" applyProtection="1">
      <alignment horizontal="center" vertical="center"/>
      <protection/>
    </xf>
    <xf numFmtId="0" fontId="3" fillId="33" borderId="10" xfId="33" applyFont="1" applyFill="1" applyBorder="1" applyAlignment="1">
      <alignment horizontal="center" vertical="center"/>
    </xf>
    <xf numFmtId="0" fontId="3" fillId="33" borderId="11" xfId="33" applyFont="1" applyFill="1" applyBorder="1" applyAlignment="1">
      <alignment horizontal="center" vertical="center"/>
    </xf>
    <xf numFmtId="0" fontId="3" fillId="33" borderId="10" xfId="33" applyFont="1" applyFill="1" applyBorder="1" applyAlignment="1">
      <alignment horizontal="center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NCLAS,REZONES Y SUS PARTES,DE FUNDICION,DE HIERRO O DE ACERO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10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14"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b/>
        <i val="0"/>
      </font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2"/>
  <sheetViews>
    <sheetView tabSelected="1" zoomScalePageLayoutView="0" workbookViewId="0" topLeftCell="A1">
      <pane xSplit="1" ySplit="8" topLeftCell="B9" activePane="bottomRight" state="frozen"/>
      <selection pane="topLeft" activeCell="A1" sqref="A1:L62"/>
      <selection pane="topRight" activeCell="A1" sqref="A1:L62"/>
      <selection pane="bottomLeft" activeCell="A1" sqref="A1:L62"/>
      <selection pane="bottomRight" activeCell="O53" sqref="O53"/>
    </sheetView>
  </sheetViews>
  <sheetFormatPr defaultColWidth="11.421875" defaultRowHeight="12.75"/>
  <cols>
    <col min="1" max="1" width="10.00390625" style="0" customWidth="1"/>
    <col min="2" max="11" width="8.57421875" style="0" customWidth="1"/>
    <col min="12" max="12" width="8.8515625" style="0" customWidth="1"/>
  </cols>
  <sheetData>
    <row r="1" spans="1:12" ht="12.75">
      <c r="A1" s="36" t="s">
        <v>58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</row>
    <row r="2" spans="1:12" ht="12.75">
      <c r="A2" s="36" t="str">
        <f>CONCATENATE(IF(B25&gt;0,"ARGENTINA, ",""),IF(C25&gt;0,"BOLIVIA, ",""),IF(D25&gt;0,"BRASIL, ",""),IF(E25&gt;0,"CHILE, ",""),IF(F25&gt;0,"COLOMBIA, ",""),IF(G25&gt;0,"ECUADOR, ",""),IF(H25&gt;0,"MÉXICO, ",""),IF(I25&gt;0,"PARAGUAY, ",""),IF(J25&gt;0,"PERÚ Y ",""),IF(K25&gt;0,"URUGUAY",""))</f>
        <v>ARGENTINA, BOLIVIA, BRASIL, CHILE, COLOMBIA, ECUADOR, MÉXICO, PARAGUAY, PERÚ Y URUGUAY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</row>
    <row r="3" spans="1:12" ht="12.75">
      <c r="A3" s="36" t="s">
        <v>17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</row>
    <row r="4" spans="1:12" ht="12.75">
      <c r="A4" s="37" t="s">
        <v>70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</row>
    <row r="5" spans="1:12" ht="12.75">
      <c r="A5" s="37" t="s">
        <v>36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</row>
    <row r="6" spans="1:12" ht="7.5" customHeight="1" thickBot="1">
      <c r="A6" s="59"/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</row>
    <row r="7" spans="1:12" ht="15" customHeight="1" thickBot="1">
      <c r="A7" s="94" t="s">
        <v>0</v>
      </c>
      <c r="B7" s="88" t="s">
        <v>25</v>
      </c>
      <c r="C7" s="88"/>
      <c r="D7" s="88"/>
      <c r="E7" s="88"/>
      <c r="F7" s="88"/>
      <c r="G7" s="88"/>
      <c r="H7" s="88"/>
      <c r="I7" s="88"/>
      <c r="J7" s="88"/>
      <c r="K7" s="88"/>
      <c r="L7" s="88"/>
    </row>
    <row r="8" spans="1:12" ht="15" customHeight="1" thickBot="1">
      <c r="A8" s="95"/>
      <c r="B8" s="88" t="s">
        <v>30</v>
      </c>
      <c r="C8" s="88" t="s">
        <v>31</v>
      </c>
      <c r="D8" s="88" t="s">
        <v>32</v>
      </c>
      <c r="E8" s="89" t="s">
        <v>33</v>
      </c>
      <c r="F8" s="88" t="s">
        <v>40</v>
      </c>
      <c r="G8" s="88" t="s">
        <v>34</v>
      </c>
      <c r="H8" s="88" t="s">
        <v>35</v>
      </c>
      <c r="I8" s="88" t="s">
        <v>41</v>
      </c>
      <c r="J8" s="88" t="s">
        <v>37</v>
      </c>
      <c r="K8" s="88" t="s">
        <v>38</v>
      </c>
      <c r="L8" s="88" t="s">
        <v>18</v>
      </c>
    </row>
    <row r="9" spans="1:12" ht="9" customHeight="1">
      <c r="A9" s="60"/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</row>
    <row r="10" spans="1:12" ht="15">
      <c r="A10" s="61"/>
      <c r="B10" s="61" t="str">
        <f>CONCATENATE(LEFT(A4,LEN(A4)-9),RIGHT(A4,4))</f>
        <v>Enero-setiembre 2013</v>
      </c>
      <c r="C10" s="61"/>
      <c r="D10" s="62"/>
      <c r="E10" s="62"/>
      <c r="F10" s="62"/>
      <c r="G10" s="62"/>
      <c r="H10" s="62"/>
      <c r="I10" s="62"/>
      <c r="J10" s="62"/>
      <c r="K10" s="62"/>
      <c r="L10" s="62"/>
    </row>
    <row r="11" spans="1:12" ht="9" customHeight="1">
      <c r="A11" s="63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</row>
    <row r="12" spans="1:23" s="5" customFormat="1" ht="14.25">
      <c r="A12" s="43" t="s">
        <v>1</v>
      </c>
      <c r="B12" s="79"/>
      <c r="C12" s="79">
        <v>1828.02819915</v>
      </c>
      <c r="D12" s="79">
        <v>14916.3</v>
      </c>
      <c r="E12" s="79">
        <v>857.11453806</v>
      </c>
      <c r="F12" s="79">
        <v>360.28180358000003</v>
      </c>
      <c r="G12" s="79">
        <v>84.525376</v>
      </c>
      <c r="H12" s="79">
        <v>1452.308588</v>
      </c>
      <c r="I12" s="79">
        <v>712.71749</v>
      </c>
      <c r="J12" s="79">
        <v>124.7913851</v>
      </c>
      <c r="K12" s="79">
        <v>374.075471</v>
      </c>
      <c r="L12" s="79">
        <f>SUM(B12:K12)</f>
        <v>20710.142850890003</v>
      </c>
      <c r="N12" s="16"/>
      <c r="O12" s="17"/>
      <c r="P12" s="26"/>
      <c r="Q12" s="29"/>
      <c r="R12" s="17"/>
      <c r="S12" s="29"/>
      <c r="T12" s="29"/>
      <c r="U12" s="29"/>
      <c r="V12" s="29"/>
      <c r="W12" s="17"/>
    </row>
    <row r="13" spans="1:23" s="5" customFormat="1" ht="14.25">
      <c r="A13" s="43" t="s">
        <v>2</v>
      </c>
      <c r="B13" s="79">
        <v>603.0965794800001</v>
      </c>
      <c r="C13" s="79"/>
      <c r="D13" s="79">
        <v>1125.37</v>
      </c>
      <c r="E13" s="79">
        <v>377.9972841900002</v>
      </c>
      <c r="F13" s="79">
        <v>104.28341766999999</v>
      </c>
      <c r="G13" s="79">
        <v>15.876038999999999</v>
      </c>
      <c r="H13" s="79">
        <v>145.135426</v>
      </c>
      <c r="I13" s="79">
        <v>55.832147</v>
      </c>
      <c r="J13" s="79">
        <v>405.3228858</v>
      </c>
      <c r="K13" s="79">
        <v>17.410019000000002</v>
      </c>
      <c r="L13" s="79">
        <f aca="true" t="shared" si="0" ref="L13:L24">SUM(B13:K13)</f>
        <v>2850.32379814</v>
      </c>
      <c r="N13" s="16"/>
      <c r="O13" s="17"/>
      <c r="P13" s="26"/>
      <c r="Q13" s="29"/>
      <c r="R13" s="17"/>
      <c r="S13" s="29"/>
      <c r="T13" s="29"/>
      <c r="U13" s="29"/>
      <c r="V13" s="29"/>
      <c r="W13" s="17"/>
    </row>
    <row r="14" spans="1:23" s="5" customFormat="1" ht="14.25">
      <c r="A14" s="43" t="s">
        <v>3</v>
      </c>
      <c r="B14" s="79">
        <v>13086.52828763</v>
      </c>
      <c r="C14" s="79">
        <v>3016.25754449</v>
      </c>
      <c r="D14" s="79"/>
      <c r="E14" s="79">
        <v>3288.7361541499995</v>
      </c>
      <c r="F14" s="79">
        <v>1104.8363495699998</v>
      </c>
      <c r="G14" s="79">
        <v>94.598444</v>
      </c>
      <c r="H14" s="79">
        <v>4160.910036</v>
      </c>
      <c r="I14" s="79">
        <v>2141.7211009999996</v>
      </c>
      <c r="J14" s="79">
        <v>1317.2096712</v>
      </c>
      <c r="K14" s="79">
        <v>1238.941499</v>
      </c>
      <c r="L14" s="79">
        <f t="shared" si="0"/>
        <v>29449.739087039998</v>
      </c>
      <c r="N14" s="16"/>
      <c r="O14" s="17"/>
      <c r="P14" s="17"/>
      <c r="Q14" s="29"/>
      <c r="R14" s="17"/>
      <c r="S14" s="29"/>
      <c r="T14" s="29"/>
      <c r="U14" s="29"/>
      <c r="V14" s="29"/>
      <c r="W14" s="17"/>
    </row>
    <row r="15" spans="1:23" s="5" customFormat="1" ht="14.25">
      <c r="A15" s="43" t="s">
        <v>4</v>
      </c>
      <c r="B15" s="79">
        <v>3144.26541687</v>
      </c>
      <c r="C15" s="79">
        <v>115.10838030999999</v>
      </c>
      <c r="D15" s="79">
        <v>3213.409</v>
      </c>
      <c r="E15" s="79"/>
      <c r="F15" s="79">
        <v>1212.57221665</v>
      </c>
      <c r="G15" s="79">
        <v>1795.3244419999999</v>
      </c>
      <c r="H15" s="79">
        <v>1616.573372</v>
      </c>
      <c r="I15" s="79">
        <v>313.149772</v>
      </c>
      <c r="J15" s="79">
        <v>1288.673057</v>
      </c>
      <c r="K15" s="79">
        <v>114.021457</v>
      </c>
      <c r="L15" s="79">
        <f t="shared" si="0"/>
        <v>12813.097113830001</v>
      </c>
      <c r="N15" s="16"/>
      <c r="O15" s="17"/>
      <c r="P15" s="26"/>
      <c r="Q15" s="17"/>
      <c r="R15" s="17"/>
      <c r="S15" s="29"/>
      <c r="T15" s="29"/>
      <c r="U15" s="29"/>
      <c r="V15" s="29"/>
      <c r="W15" s="17"/>
    </row>
    <row r="16" spans="1:23" s="5" customFormat="1" ht="14.25">
      <c r="A16" s="47" t="s">
        <v>5</v>
      </c>
      <c r="B16" s="79">
        <v>1448.3948491899998</v>
      </c>
      <c r="C16" s="79">
        <v>483.67844571</v>
      </c>
      <c r="D16" s="79">
        <v>1960.112</v>
      </c>
      <c r="E16" s="79">
        <v>745.2540233199998</v>
      </c>
      <c r="F16" s="79"/>
      <c r="G16" s="79">
        <v>688.253241</v>
      </c>
      <c r="H16" s="79">
        <v>3590.829591</v>
      </c>
      <c r="I16" s="79">
        <v>20.981731</v>
      </c>
      <c r="J16" s="79">
        <v>576.7643224</v>
      </c>
      <c r="K16" s="79">
        <v>12.644663000000001</v>
      </c>
      <c r="L16" s="79">
        <f t="shared" si="0"/>
        <v>9526.91286662</v>
      </c>
      <c r="N16" s="16"/>
      <c r="O16" s="17"/>
      <c r="P16" s="26"/>
      <c r="Q16" s="29"/>
      <c r="R16" s="17"/>
      <c r="S16" s="29"/>
      <c r="T16" s="29"/>
      <c r="U16" s="29"/>
      <c r="V16" s="29"/>
      <c r="W16" s="17"/>
    </row>
    <row r="17" spans="1:23" s="5" customFormat="1" ht="14.25">
      <c r="A17" s="43" t="s">
        <v>7</v>
      </c>
      <c r="B17" s="79">
        <v>268.76179325</v>
      </c>
      <c r="C17" s="79">
        <v>3.24013596</v>
      </c>
      <c r="D17" s="79">
        <v>374.881</v>
      </c>
      <c r="E17" s="79">
        <v>21.084799560000004</v>
      </c>
      <c r="F17" s="79">
        <v>27.38573405</v>
      </c>
      <c r="G17" s="79">
        <v>11.116</v>
      </c>
      <c r="H17" s="79">
        <v>286.86729499999996</v>
      </c>
      <c r="I17" s="79">
        <v>0.34245600000000004</v>
      </c>
      <c r="J17" s="79">
        <v>14.289355800000001</v>
      </c>
      <c r="K17" s="79">
        <v>15.998912</v>
      </c>
      <c r="L17" s="79">
        <f t="shared" si="0"/>
        <v>1023.9674816199997</v>
      </c>
      <c r="N17" s="16"/>
      <c r="O17" s="17"/>
      <c r="P17" s="26"/>
      <c r="Q17" s="29"/>
      <c r="R17" s="17"/>
      <c r="S17" s="29"/>
      <c r="T17" s="29"/>
      <c r="U17" s="29"/>
      <c r="V17" s="29"/>
      <c r="W17" s="17"/>
    </row>
    <row r="18" spans="1:23" s="5" customFormat="1" ht="14.25">
      <c r="A18" s="43" t="s">
        <v>16</v>
      </c>
      <c r="B18" s="79">
        <v>283.89604654</v>
      </c>
      <c r="C18" s="79">
        <v>100.7542606</v>
      </c>
      <c r="D18" s="79">
        <v>629.017</v>
      </c>
      <c r="E18" s="79">
        <v>420.33731699000015</v>
      </c>
      <c r="F18" s="79">
        <v>1471.69045829</v>
      </c>
      <c r="G18" s="79"/>
      <c r="H18" s="79">
        <v>715.0383959999999</v>
      </c>
      <c r="I18" s="79">
        <v>8.483618</v>
      </c>
      <c r="J18" s="79">
        <v>722.4057483999999</v>
      </c>
      <c r="K18" s="79">
        <v>9.378046</v>
      </c>
      <c r="L18" s="79">
        <f t="shared" si="0"/>
        <v>4361.00089082</v>
      </c>
      <c r="N18" s="16"/>
      <c r="O18" s="17"/>
      <c r="P18" s="26"/>
      <c r="Q18" s="29"/>
      <c r="R18" s="17"/>
      <c r="S18" s="17"/>
      <c r="T18" s="29"/>
      <c r="U18" s="29"/>
      <c r="V18" s="29"/>
      <c r="W18" s="17"/>
    </row>
    <row r="19" spans="1:23" s="5" customFormat="1" ht="14.25">
      <c r="A19" s="43" t="s">
        <v>8</v>
      </c>
      <c r="B19" s="79">
        <v>756.8139886700001</v>
      </c>
      <c r="C19" s="79">
        <v>18.94534951</v>
      </c>
      <c r="D19" s="79">
        <v>2717.85</v>
      </c>
      <c r="E19" s="79">
        <v>1026.40149712</v>
      </c>
      <c r="F19" s="79">
        <v>623.5694990800001</v>
      </c>
      <c r="G19" s="79">
        <v>72.214133</v>
      </c>
      <c r="H19" s="79"/>
      <c r="I19" s="79">
        <v>268.873793</v>
      </c>
      <c r="J19" s="79">
        <v>370.24891460000003</v>
      </c>
      <c r="K19" s="79">
        <v>104.627892</v>
      </c>
      <c r="L19" s="79">
        <f t="shared" si="0"/>
        <v>5959.54506698</v>
      </c>
      <c r="N19" s="16"/>
      <c r="O19" s="17"/>
      <c r="P19" s="26"/>
      <c r="Q19" s="29"/>
      <c r="R19" s="17"/>
      <c r="S19" s="29"/>
      <c r="T19" s="17"/>
      <c r="U19" s="29"/>
      <c r="V19" s="29"/>
      <c r="W19" s="17"/>
    </row>
    <row r="20" spans="1:23" s="5" customFormat="1" ht="14.25">
      <c r="A20" s="80" t="s">
        <v>64</v>
      </c>
      <c r="B20" s="79">
        <v>98.43052987999998</v>
      </c>
      <c r="C20" s="79">
        <v>23.03705197</v>
      </c>
      <c r="D20" s="79">
        <v>1947.686</v>
      </c>
      <c r="E20" s="79">
        <v>103.84363747000002</v>
      </c>
      <c r="F20" s="79">
        <v>2300.40818895</v>
      </c>
      <c r="G20" s="79">
        <v>334.28968</v>
      </c>
      <c r="H20" s="79">
        <v>803.5353590000001</v>
      </c>
      <c r="I20" s="79">
        <v>3.619602</v>
      </c>
      <c r="J20" s="79">
        <v>385.57118760000003</v>
      </c>
      <c r="K20" s="79">
        <v>7.8433969999999995</v>
      </c>
      <c r="L20" s="79">
        <f t="shared" si="0"/>
        <v>6008.264633869999</v>
      </c>
      <c r="N20" s="16"/>
      <c r="O20" s="17"/>
      <c r="P20" s="26"/>
      <c r="Q20" s="29"/>
      <c r="R20" s="17"/>
      <c r="S20" s="29"/>
      <c r="T20" s="17"/>
      <c r="U20" s="29"/>
      <c r="V20" s="29"/>
      <c r="W20" s="17"/>
    </row>
    <row r="21" spans="1:23" s="5" customFormat="1" ht="14.25">
      <c r="A21" s="43" t="s">
        <v>9</v>
      </c>
      <c r="B21" s="79">
        <v>1015.8509972300001</v>
      </c>
      <c r="C21" s="79">
        <v>21.50521987</v>
      </c>
      <c r="D21" s="79">
        <v>2256.411</v>
      </c>
      <c r="E21" s="79">
        <v>101.90186920999994</v>
      </c>
      <c r="F21" s="79">
        <v>11.74885965</v>
      </c>
      <c r="G21" s="79">
        <v>2.279</v>
      </c>
      <c r="H21" s="79">
        <v>95.592204</v>
      </c>
      <c r="I21" s="79"/>
      <c r="J21" s="79">
        <v>6.9722591</v>
      </c>
      <c r="K21" s="79">
        <v>106.72754300000001</v>
      </c>
      <c r="L21" s="79">
        <f t="shared" si="0"/>
        <v>3618.9889520600004</v>
      </c>
      <c r="N21" s="16"/>
      <c r="O21" s="17"/>
      <c r="P21" s="26"/>
      <c r="Q21" s="29"/>
      <c r="R21" s="17"/>
      <c r="S21" s="29"/>
      <c r="T21" s="29"/>
      <c r="U21" s="17"/>
      <c r="V21" s="29"/>
      <c r="W21" s="17"/>
    </row>
    <row r="22" spans="1:23" s="5" customFormat="1" ht="14.25">
      <c r="A22" s="43" t="s">
        <v>10</v>
      </c>
      <c r="B22" s="79">
        <v>1290.2992906399998</v>
      </c>
      <c r="C22" s="79">
        <v>442.37653673</v>
      </c>
      <c r="D22" s="79">
        <v>1620.688</v>
      </c>
      <c r="E22" s="79">
        <v>1263.3515865600014</v>
      </c>
      <c r="F22" s="79">
        <v>985.8636628500001</v>
      </c>
      <c r="G22" s="79">
        <v>1518.0310169999998</v>
      </c>
      <c r="H22" s="79">
        <v>1365.578656</v>
      </c>
      <c r="I22" s="79">
        <v>129.182422</v>
      </c>
      <c r="J22" s="79"/>
      <c r="K22" s="79">
        <v>91.49995200000001</v>
      </c>
      <c r="L22" s="79">
        <f t="shared" si="0"/>
        <v>8706.87112378</v>
      </c>
      <c r="N22" s="16"/>
      <c r="O22" s="17"/>
      <c r="P22" s="26"/>
      <c r="Q22" s="29"/>
      <c r="R22" s="17"/>
      <c r="S22" s="29"/>
      <c r="T22" s="29"/>
      <c r="U22" s="17"/>
      <c r="V22" s="17"/>
      <c r="W22" s="17"/>
    </row>
    <row r="23" spans="1:23" s="5" customFormat="1" ht="14.25">
      <c r="A23" s="43" t="s">
        <v>11</v>
      </c>
      <c r="B23" s="79">
        <v>1485.49652051</v>
      </c>
      <c r="C23" s="79">
        <v>5.21097605</v>
      </c>
      <c r="D23" s="79">
        <v>1477.858</v>
      </c>
      <c r="E23" s="79">
        <v>152.57011183</v>
      </c>
      <c r="F23" s="79">
        <v>13.938742699999999</v>
      </c>
      <c r="G23" s="79">
        <v>14.569</v>
      </c>
      <c r="H23" s="79">
        <v>225.164604</v>
      </c>
      <c r="I23" s="79">
        <v>245.57733</v>
      </c>
      <c r="J23" s="79">
        <v>27.5317524</v>
      </c>
      <c r="K23" s="79"/>
      <c r="L23" s="79">
        <f t="shared" si="0"/>
        <v>3647.91703749</v>
      </c>
      <c r="N23" s="16"/>
      <c r="O23" s="17"/>
      <c r="P23" s="26"/>
      <c r="Q23" s="29"/>
      <c r="R23" s="17"/>
      <c r="S23" s="29"/>
      <c r="T23" s="29"/>
      <c r="U23" s="17"/>
      <c r="V23" s="29"/>
      <c r="W23" s="17"/>
    </row>
    <row r="24" spans="1:23" s="5" customFormat="1" ht="14.25">
      <c r="A24" s="43" t="s">
        <v>12</v>
      </c>
      <c r="B24" s="79">
        <v>1564.25307201</v>
      </c>
      <c r="C24" s="79">
        <v>89.96457768</v>
      </c>
      <c r="D24" s="79">
        <v>3124.229</v>
      </c>
      <c r="E24" s="79">
        <v>346.87798229000015</v>
      </c>
      <c r="F24" s="79">
        <v>1661.66974255</v>
      </c>
      <c r="G24" s="79">
        <v>347.447171</v>
      </c>
      <c r="H24" s="79">
        <v>1641.061101</v>
      </c>
      <c r="I24" s="79">
        <v>39.27813</v>
      </c>
      <c r="J24" s="79">
        <v>547.2667986</v>
      </c>
      <c r="K24" s="79">
        <v>280.230415</v>
      </c>
      <c r="L24" s="79">
        <f t="shared" si="0"/>
        <v>9642.27799013</v>
      </c>
      <c r="M24" s="16"/>
      <c r="N24" s="16"/>
      <c r="O24" s="17"/>
      <c r="P24" s="30"/>
      <c r="Q24" s="29"/>
      <c r="R24" s="17"/>
      <c r="S24" s="29"/>
      <c r="T24" s="29"/>
      <c r="U24" s="17"/>
      <c r="V24" s="29"/>
      <c r="W24" s="17"/>
    </row>
    <row r="25" spans="1:14" s="6" customFormat="1" ht="15" customHeight="1">
      <c r="A25" s="51" t="s">
        <v>29</v>
      </c>
      <c r="B25" s="65">
        <f aca="true" t="shared" si="1" ref="B25:K25">SUM(B12:B24)</f>
        <v>25046.087371900005</v>
      </c>
      <c r="C25" s="65">
        <f t="shared" si="1"/>
        <v>6148.106678029999</v>
      </c>
      <c r="D25" s="65">
        <f t="shared" si="1"/>
        <v>35363.811</v>
      </c>
      <c r="E25" s="65">
        <f t="shared" si="1"/>
        <v>8705.470800750001</v>
      </c>
      <c r="F25" s="65">
        <f t="shared" si="1"/>
        <v>9878.24867559</v>
      </c>
      <c r="G25" s="65">
        <f t="shared" si="1"/>
        <v>4978.523543</v>
      </c>
      <c r="H25" s="65">
        <f t="shared" si="1"/>
        <v>16098.594627999999</v>
      </c>
      <c r="I25" s="65">
        <f t="shared" si="1"/>
        <v>3939.7595920000003</v>
      </c>
      <c r="J25" s="65">
        <f t="shared" si="1"/>
        <v>5787.047337999999</v>
      </c>
      <c r="K25" s="65">
        <f t="shared" si="1"/>
        <v>2373.3992660000004</v>
      </c>
      <c r="L25" s="65">
        <f>SUM(B25:K25)</f>
        <v>118319.04889327002</v>
      </c>
      <c r="M25" s="22"/>
      <c r="N25" s="22"/>
    </row>
    <row r="26" spans="1:12" ht="12.75">
      <c r="A26" s="35"/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</row>
    <row r="27" spans="1:12" ht="15">
      <c r="A27" s="61"/>
      <c r="B27" s="61" t="str">
        <f>LEFT(A4,LEN(A4)-5)</f>
        <v>Enero-setiembre 2012</v>
      </c>
      <c r="C27" s="61"/>
      <c r="D27" s="62"/>
      <c r="E27" s="62"/>
      <c r="F27" s="62"/>
      <c r="G27" s="62"/>
      <c r="H27" s="62"/>
      <c r="I27" s="62"/>
      <c r="J27" s="62"/>
      <c r="K27" s="62"/>
      <c r="L27" s="62"/>
    </row>
    <row r="28" spans="1:12" ht="9" customHeight="1">
      <c r="A28" s="63"/>
      <c r="B28" s="35"/>
      <c r="C28" s="35"/>
      <c r="D28" s="62"/>
      <c r="E28" s="62"/>
      <c r="F28" s="62"/>
      <c r="G28" s="62"/>
      <c r="H28" s="62"/>
      <c r="I28" s="62"/>
      <c r="J28" s="62"/>
      <c r="K28" s="62"/>
      <c r="L28" s="35"/>
    </row>
    <row r="29" spans="1:23" ht="14.25" customHeight="1">
      <c r="A29" s="43" t="s">
        <v>1</v>
      </c>
      <c r="B29" s="79"/>
      <c r="C29" s="79">
        <v>1508.08568374</v>
      </c>
      <c r="D29" s="79">
        <v>13474.869</v>
      </c>
      <c r="E29" s="79">
        <v>889.9569504300002</v>
      </c>
      <c r="F29" s="79">
        <v>205.14222197</v>
      </c>
      <c r="G29" s="79">
        <v>80.91243499999999</v>
      </c>
      <c r="H29" s="79">
        <v>1420.170382</v>
      </c>
      <c r="I29" s="79">
        <v>436.27567700000003</v>
      </c>
      <c r="J29" s="79">
        <v>155.2551218</v>
      </c>
      <c r="K29" s="79">
        <v>379.13117800000003</v>
      </c>
      <c r="L29" s="79">
        <f>SUM(B29:K29)</f>
        <v>18549.798649940003</v>
      </c>
      <c r="N29" s="16"/>
      <c r="O29" s="16"/>
      <c r="P29" s="16"/>
      <c r="Q29" s="16"/>
      <c r="R29" s="16"/>
      <c r="S29" s="16"/>
      <c r="T29" s="16"/>
      <c r="U29" s="16"/>
      <c r="V29" s="16"/>
      <c r="W29" s="16"/>
    </row>
    <row r="30" spans="1:23" ht="14.25" customHeight="1">
      <c r="A30" s="43" t="s">
        <v>2</v>
      </c>
      <c r="B30" s="79">
        <v>684.4654670100001</v>
      </c>
      <c r="C30" s="79"/>
      <c r="D30" s="79">
        <v>1064.367</v>
      </c>
      <c r="E30" s="79">
        <v>311.83576345</v>
      </c>
      <c r="F30" s="79">
        <v>83.74580248</v>
      </c>
      <c r="G30" s="79">
        <v>16.819532</v>
      </c>
      <c r="H30" s="79">
        <v>124.151647</v>
      </c>
      <c r="I30" s="79">
        <v>60.015774</v>
      </c>
      <c r="J30" s="79">
        <v>410.30519630000003</v>
      </c>
      <c r="K30" s="79">
        <v>14.3232</v>
      </c>
      <c r="L30" s="79">
        <f aca="true" t="shared" si="2" ref="L30:L42">SUM(B30:K30)</f>
        <v>2770.02938224</v>
      </c>
      <c r="M30" s="2"/>
      <c r="N30" s="16"/>
      <c r="O30" s="16"/>
      <c r="P30" s="16"/>
      <c r="Q30" s="16"/>
      <c r="R30" s="16"/>
      <c r="S30" s="16"/>
      <c r="T30" s="16"/>
      <c r="U30" s="16"/>
      <c r="V30" s="16"/>
      <c r="W30" s="16"/>
    </row>
    <row r="31" spans="1:23" ht="14.25" customHeight="1">
      <c r="A31" s="43" t="s">
        <v>3</v>
      </c>
      <c r="B31" s="79">
        <v>11593.091336860003</v>
      </c>
      <c r="C31" s="79">
        <v>2602.0687066100004</v>
      </c>
      <c r="D31" s="79"/>
      <c r="E31" s="79">
        <v>3172.462901780001</v>
      </c>
      <c r="F31" s="79">
        <v>982.46793261</v>
      </c>
      <c r="G31" s="79">
        <v>105.093672</v>
      </c>
      <c r="H31" s="79">
        <v>4470.555997</v>
      </c>
      <c r="I31" s="79">
        <v>2076.83144</v>
      </c>
      <c r="J31" s="79">
        <v>996.3427172</v>
      </c>
      <c r="K31" s="79">
        <v>1214.282604</v>
      </c>
      <c r="L31" s="79">
        <f t="shared" si="2"/>
        <v>27213.197308060007</v>
      </c>
      <c r="N31" s="16"/>
      <c r="O31" s="16"/>
      <c r="P31" s="16"/>
      <c r="Q31" s="16"/>
      <c r="R31" s="16"/>
      <c r="S31" s="16"/>
      <c r="T31" s="16"/>
      <c r="U31" s="16"/>
      <c r="V31" s="16"/>
      <c r="W31" s="16"/>
    </row>
    <row r="32" spans="1:23" ht="14.25" customHeight="1">
      <c r="A32" s="43" t="s">
        <v>4</v>
      </c>
      <c r="B32" s="79">
        <v>3658.47306335</v>
      </c>
      <c r="C32" s="79">
        <v>175.09292973</v>
      </c>
      <c r="D32" s="79">
        <v>3305.384</v>
      </c>
      <c r="E32" s="79"/>
      <c r="F32" s="79">
        <v>1533.51751102</v>
      </c>
      <c r="G32" s="79">
        <v>1519.337813</v>
      </c>
      <c r="H32" s="79">
        <v>1718.563125</v>
      </c>
      <c r="I32" s="79">
        <v>126.90270299999999</v>
      </c>
      <c r="J32" s="79">
        <v>1540.1445224000001</v>
      </c>
      <c r="K32" s="79">
        <v>144.88233799999998</v>
      </c>
      <c r="L32" s="79">
        <f t="shared" si="2"/>
        <v>13722.298005499999</v>
      </c>
      <c r="N32" s="16"/>
      <c r="O32" s="16"/>
      <c r="P32" s="16"/>
      <c r="Q32" s="16"/>
      <c r="R32" s="16"/>
      <c r="S32" s="16"/>
      <c r="T32" s="16"/>
      <c r="U32" s="16"/>
      <c r="V32" s="16"/>
      <c r="W32" s="16"/>
    </row>
    <row r="33" spans="1:23" ht="14.25" customHeight="1">
      <c r="A33" s="47" t="s">
        <v>5</v>
      </c>
      <c r="B33" s="79">
        <v>1578.0957655400002</v>
      </c>
      <c r="C33" s="79">
        <v>331.21979238</v>
      </c>
      <c r="D33" s="79">
        <v>2119.851</v>
      </c>
      <c r="E33" s="79">
        <v>741.1567693899997</v>
      </c>
      <c r="F33" s="79"/>
      <c r="G33" s="79">
        <v>786.282028</v>
      </c>
      <c r="H33" s="79">
        <v>4357.5968250000005</v>
      </c>
      <c r="I33" s="79">
        <v>18.980904</v>
      </c>
      <c r="J33" s="79">
        <v>676.331199</v>
      </c>
      <c r="K33" s="79">
        <v>30.574592</v>
      </c>
      <c r="L33" s="79">
        <f t="shared" si="2"/>
        <v>10640.08887531</v>
      </c>
      <c r="M33" s="2"/>
      <c r="N33" s="16"/>
      <c r="O33" s="16"/>
      <c r="P33" s="16"/>
      <c r="Q33" s="16"/>
      <c r="R33" s="16"/>
      <c r="S33" s="16"/>
      <c r="T33" s="16"/>
      <c r="U33" s="16"/>
      <c r="V33" s="16"/>
      <c r="W33" s="16"/>
    </row>
    <row r="34" spans="1:23" ht="14.25" customHeight="1">
      <c r="A34" s="43" t="s">
        <v>7</v>
      </c>
      <c r="B34" s="79">
        <v>83.29818808999998</v>
      </c>
      <c r="C34" s="79">
        <v>0.5245079899999999</v>
      </c>
      <c r="D34" s="79">
        <v>411.637</v>
      </c>
      <c r="E34" s="79">
        <v>20.316234559999998</v>
      </c>
      <c r="F34" s="79">
        <v>22.748002359999997</v>
      </c>
      <c r="G34" s="79">
        <v>12.625</v>
      </c>
      <c r="H34" s="79">
        <v>281.840385</v>
      </c>
      <c r="I34" s="79">
        <v>0.569416</v>
      </c>
      <c r="J34" s="79">
        <v>13.941316800000001</v>
      </c>
      <c r="K34" s="79">
        <v>41.036829</v>
      </c>
      <c r="L34" s="79">
        <f t="shared" si="2"/>
        <v>888.5368798</v>
      </c>
      <c r="M34" s="2"/>
      <c r="N34" s="16"/>
      <c r="O34" s="16"/>
      <c r="P34" s="16"/>
      <c r="Q34" s="16"/>
      <c r="R34" s="16"/>
      <c r="S34" s="16"/>
      <c r="T34" s="16"/>
      <c r="U34" s="16"/>
      <c r="V34" s="16"/>
      <c r="W34" s="16"/>
    </row>
    <row r="35" spans="1:23" ht="14.25" customHeight="1">
      <c r="A35" s="43" t="s">
        <v>16</v>
      </c>
      <c r="B35" s="79">
        <v>337.08101314</v>
      </c>
      <c r="C35" s="79">
        <v>179.82511506</v>
      </c>
      <c r="D35" s="79">
        <v>697.633</v>
      </c>
      <c r="E35" s="79">
        <v>404.9648445199998</v>
      </c>
      <c r="F35" s="79">
        <v>1421.0279839000002</v>
      </c>
      <c r="G35" s="79"/>
      <c r="H35" s="79">
        <v>670.1958050000001</v>
      </c>
      <c r="I35" s="79">
        <v>3.49878</v>
      </c>
      <c r="J35" s="79">
        <v>651.7067466000001</v>
      </c>
      <c r="K35" s="79">
        <v>7.653084</v>
      </c>
      <c r="L35" s="79">
        <f t="shared" si="2"/>
        <v>4373.586372219999</v>
      </c>
      <c r="N35" s="16"/>
      <c r="O35" s="16"/>
      <c r="P35" s="16"/>
      <c r="Q35" s="16"/>
      <c r="R35" s="16"/>
      <c r="S35" s="16"/>
      <c r="T35" s="16"/>
      <c r="U35" s="16"/>
      <c r="V35" s="16"/>
      <c r="W35" s="16"/>
    </row>
    <row r="36" spans="1:23" ht="14.25" customHeight="1">
      <c r="A36" s="43" t="s">
        <v>8</v>
      </c>
      <c r="B36" s="79">
        <v>641.3432486999999</v>
      </c>
      <c r="C36" s="79">
        <v>28.37826871</v>
      </c>
      <c r="D36" s="79">
        <v>3048.309</v>
      </c>
      <c r="E36" s="79">
        <v>1024.52579175</v>
      </c>
      <c r="F36" s="79">
        <v>622.54191792</v>
      </c>
      <c r="G36" s="79">
        <v>73.18689</v>
      </c>
      <c r="H36" s="79"/>
      <c r="I36" s="79">
        <v>86.341437</v>
      </c>
      <c r="J36" s="79">
        <v>305.28974580000005</v>
      </c>
      <c r="K36" s="79">
        <v>98.518421</v>
      </c>
      <c r="L36" s="79">
        <f t="shared" si="2"/>
        <v>5928.43472088</v>
      </c>
      <c r="N36" s="16"/>
      <c r="O36" s="16"/>
      <c r="P36" s="16"/>
      <c r="Q36" s="16"/>
      <c r="R36" s="16"/>
      <c r="S36" s="16"/>
      <c r="T36" s="16"/>
      <c r="U36" s="16"/>
      <c r="V36" s="16"/>
      <c r="W36" s="16"/>
    </row>
    <row r="37" spans="1:23" ht="14.25" customHeight="1">
      <c r="A37" s="80" t="s">
        <v>64</v>
      </c>
      <c r="B37" s="79">
        <v>123.72656456</v>
      </c>
      <c r="C37" s="79">
        <v>26.89289621</v>
      </c>
      <c r="D37" s="79">
        <v>280.348</v>
      </c>
      <c r="E37" s="79">
        <v>104.15064168000002</v>
      </c>
      <c r="F37" s="79">
        <v>2031.9707224600002</v>
      </c>
      <c r="G37" s="79">
        <v>837.747217360868</v>
      </c>
      <c r="H37" s="79">
        <v>843.313046</v>
      </c>
      <c r="I37" s="79">
        <v>4.804905</v>
      </c>
      <c r="J37" s="79">
        <v>289.60215600000004</v>
      </c>
      <c r="K37" s="79">
        <v>8.931447</v>
      </c>
      <c r="L37" s="79">
        <f t="shared" si="2"/>
        <v>4551.487596270868</v>
      </c>
      <c r="N37" s="16"/>
      <c r="O37" s="16"/>
      <c r="P37" s="16"/>
      <c r="Q37" s="16"/>
      <c r="R37" s="16"/>
      <c r="S37" s="16"/>
      <c r="T37" s="16"/>
      <c r="U37" s="16"/>
      <c r="V37" s="16"/>
      <c r="W37" s="16"/>
    </row>
    <row r="38" spans="1:23" ht="14.25" customHeight="1">
      <c r="A38" s="43" t="s">
        <v>9</v>
      </c>
      <c r="B38" s="79">
        <v>988.8428359200001</v>
      </c>
      <c r="C38" s="79">
        <v>18.33940863</v>
      </c>
      <c r="D38" s="79">
        <v>1888.672</v>
      </c>
      <c r="E38" s="79">
        <v>100.68797274</v>
      </c>
      <c r="F38" s="79">
        <v>10.31617439</v>
      </c>
      <c r="G38" s="79">
        <v>2.532</v>
      </c>
      <c r="H38" s="79">
        <v>80.598663</v>
      </c>
      <c r="I38" s="79"/>
      <c r="J38" s="79">
        <v>8.022450599999999</v>
      </c>
      <c r="K38" s="79">
        <v>109.62692999999999</v>
      </c>
      <c r="L38" s="79">
        <f t="shared" si="2"/>
        <v>3207.6384352800005</v>
      </c>
      <c r="M38" s="2"/>
      <c r="N38" s="16"/>
      <c r="O38" s="16"/>
      <c r="P38" s="16"/>
      <c r="Q38" s="16"/>
      <c r="R38" s="16"/>
      <c r="S38" s="16"/>
      <c r="T38" s="16"/>
      <c r="U38" s="16"/>
      <c r="V38" s="16"/>
      <c r="W38" s="16"/>
    </row>
    <row r="39" spans="1:23" ht="14.25" customHeight="1">
      <c r="A39" s="43" t="s">
        <v>10</v>
      </c>
      <c r="B39" s="79">
        <v>1396.0678874900002</v>
      </c>
      <c r="C39" s="79">
        <v>455.46511573000004</v>
      </c>
      <c r="D39" s="79">
        <v>1879.997</v>
      </c>
      <c r="E39" s="79">
        <v>1180.2715009100007</v>
      </c>
      <c r="F39" s="79">
        <v>1115.0344283</v>
      </c>
      <c r="G39" s="79">
        <v>1539.317369</v>
      </c>
      <c r="H39" s="79">
        <v>1169.6071000000002</v>
      </c>
      <c r="I39" s="79">
        <v>98.983659</v>
      </c>
      <c r="J39" s="79"/>
      <c r="K39" s="79">
        <v>95.72698600000001</v>
      </c>
      <c r="L39" s="79">
        <f t="shared" si="2"/>
        <v>8930.47104643</v>
      </c>
      <c r="N39" s="16"/>
      <c r="O39" s="16"/>
      <c r="P39" s="16"/>
      <c r="Q39" s="16"/>
      <c r="R39" s="16"/>
      <c r="S39" s="16"/>
      <c r="T39" s="16"/>
      <c r="U39" s="16"/>
      <c r="V39" s="16"/>
      <c r="W39" s="16"/>
    </row>
    <row r="40" spans="1:23" ht="14.25" customHeight="1">
      <c r="A40" s="43" t="s">
        <v>11</v>
      </c>
      <c r="B40" s="79">
        <v>1560.52683592</v>
      </c>
      <c r="C40" s="79">
        <v>3.77843538</v>
      </c>
      <c r="D40" s="79">
        <v>1640.58</v>
      </c>
      <c r="E40" s="79">
        <v>130.43011750000002</v>
      </c>
      <c r="F40" s="79">
        <v>10.825235730000001</v>
      </c>
      <c r="G40" s="79">
        <v>9.849</v>
      </c>
      <c r="H40" s="79">
        <v>221.767022</v>
      </c>
      <c r="I40" s="79">
        <v>68.484889</v>
      </c>
      <c r="J40" s="79">
        <v>23.7310575</v>
      </c>
      <c r="K40" s="79"/>
      <c r="L40" s="79">
        <f t="shared" si="2"/>
        <v>3669.9725930299996</v>
      </c>
      <c r="N40" s="16"/>
      <c r="O40" s="16"/>
      <c r="P40" s="16"/>
      <c r="Q40" s="16"/>
      <c r="R40" s="16"/>
      <c r="S40" s="16"/>
      <c r="T40" s="16"/>
      <c r="U40" s="16"/>
      <c r="V40" s="16"/>
      <c r="W40" s="16"/>
    </row>
    <row r="41" spans="1:23" ht="14.25" customHeight="1">
      <c r="A41" s="43" t="s">
        <v>12</v>
      </c>
      <c r="B41" s="79">
        <v>1700.86620434</v>
      </c>
      <c r="C41" s="79">
        <v>222.3715617</v>
      </c>
      <c r="D41" s="79">
        <v>3746.174</v>
      </c>
      <c r="E41" s="79">
        <v>532.5586631100002</v>
      </c>
      <c r="F41" s="79">
        <v>1927.2617856400002</v>
      </c>
      <c r="G41" s="79">
        <v>724.004366</v>
      </c>
      <c r="H41" s="79">
        <v>1624.024791</v>
      </c>
      <c r="I41" s="79">
        <v>48.551656</v>
      </c>
      <c r="J41" s="79">
        <v>915.6968956000001</v>
      </c>
      <c r="K41" s="79">
        <v>322.683256</v>
      </c>
      <c r="L41" s="79">
        <f t="shared" si="2"/>
        <v>11764.19317939</v>
      </c>
      <c r="M41" s="2"/>
      <c r="N41" s="16"/>
      <c r="O41" s="16"/>
      <c r="P41" s="16"/>
      <c r="Q41" s="16"/>
      <c r="R41" s="16"/>
      <c r="S41" s="16"/>
      <c r="T41" s="16"/>
      <c r="U41" s="16"/>
      <c r="V41" s="16"/>
      <c r="W41" s="16"/>
    </row>
    <row r="42" spans="1:13" s="3" customFormat="1" ht="15" customHeight="1">
      <c r="A42" s="51" t="s">
        <v>29</v>
      </c>
      <c r="B42" s="65">
        <f>SUM(B29:B41)</f>
        <v>24345.878410920002</v>
      </c>
      <c r="C42" s="65">
        <f aca="true" t="shared" si="3" ref="C42:K42">SUM(C29:C41)</f>
        <v>5552.042421870001</v>
      </c>
      <c r="D42" s="65">
        <f t="shared" si="3"/>
        <v>33557.821</v>
      </c>
      <c r="E42" s="65">
        <f t="shared" si="3"/>
        <v>8613.318151820002</v>
      </c>
      <c r="F42" s="65">
        <f t="shared" si="3"/>
        <v>9966.59971878</v>
      </c>
      <c r="G42" s="65">
        <f t="shared" si="3"/>
        <v>5707.707322360869</v>
      </c>
      <c r="H42" s="65">
        <f t="shared" si="3"/>
        <v>16982.384788</v>
      </c>
      <c r="I42" s="65">
        <f>SUM(I29:I41)</f>
        <v>3030.24124</v>
      </c>
      <c r="J42" s="65">
        <f t="shared" si="3"/>
        <v>5986.3691256</v>
      </c>
      <c r="K42" s="65">
        <f t="shared" si="3"/>
        <v>2467.3708649999994</v>
      </c>
      <c r="L42" s="65">
        <f t="shared" si="2"/>
        <v>116209.73304435088</v>
      </c>
      <c r="M42" s="9"/>
    </row>
    <row r="43" spans="1:12" ht="9" customHeight="1">
      <c r="A43" s="35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</row>
    <row r="44" spans="1:12" ht="15">
      <c r="A44" s="61"/>
      <c r="B44" s="61" t="str">
        <f>+CONCATENATE("Crecimiento ",RIGHT(A4,4),"/",RIGHT(B27,4))</f>
        <v>Crecimiento 2013/2012</v>
      </c>
      <c r="C44" s="61"/>
      <c r="D44" s="62"/>
      <c r="E44" s="62"/>
      <c r="F44" s="62"/>
      <c r="G44" s="62"/>
      <c r="H44" s="62"/>
      <c r="I44" s="62"/>
      <c r="J44" s="62"/>
      <c r="K44" s="62"/>
      <c r="L44" s="62"/>
    </row>
    <row r="45" spans="1:12" ht="9" customHeight="1">
      <c r="A45" s="63"/>
      <c r="B45" s="35"/>
      <c r="C45" s="35"/>
      <c r="D45" s="62"/>
      <c r="E45" s="62"/>
      <c r="F45" s="62"/>
      <c r="G45" s="62"/>
      <c r="H45" s="62"/>
      <c r="I45" s="62"/>
      <c r="J45" s="62"/>
      <c r="K45" s="62"/>
      <c r="L45" s="35"/>
    </row>
    <row r="46" spans="1:18" ht="14.25" customHeight="1">
      <c r="A46" s="43" t="s">
        <v>1</v>
      </c>
      <c r="B46" s="66"/>
      <c r="C46" s="66">
        <f aca="true" t="shared" si="4" ref="C46:L46">+(C12/C29-1)*100</f>
        <v>21.215141742911705</v>
      </c>
      <c r="D46" s="66">
        <f t="shared" si="4"/>
        <v>10.697180061639177</v>
      </c>
      <c r="E46" s="66">
        <f t="shared" si="4"/>
        <v>-3.6903371959881692</v>
      </c>
      <c r="F46" s="66">
        <f>+(F12/F29-1)*100</f>
        <v>75.62537839367248</v>
      </c>
      <c r="G46" s="66">
        <f t="shared" si="4"/>
        <v>4.465248141401257</v>
      </c>
      <c r="H46" s="66">
        <f aca="true" t="shared" si="5" ref="H46:J52">(H12/H29-1)*100</f>
        <v>2.262982414457926</v>
      </c>
      <c r="I46" s="66">
        <f t="shared" si="5"/>
        <v>63.36402132269225</v>
      </c>
      <c r="J46" s="66">
        <f t="shared" si="5"/>
        <v>-19.62172735225023</v>
      </c>
      <c r="K46" s="66">
        <f aca="true" t="shared" si="6" ref="K46:K56">+(K12/K29-1)*100</f>
        <v>-1.3334980854568634</v>
      </c>
      <c r="L46" s="66">
        <f t="shared" si="4"/>
        <v>11.646186795439895</v>
      </c>
      <c r="M46" s="16"/>
      <c r="O46" s="31"/>
      <c r="P46" s="31"/>
      <c r="R46" s="16"/>
    </row>
    <row r="47" spans="1:18" ht="14.25" customHeight="1">
      <c r="A47" s="43" t="s">
        <v>2</v>
      </c>
      <c r="B47" s="66">
        <f aca="true" t="shared" si="7" ref="B47:B59">+(B13/B30-1)*100</f>
        <v>-11.887946354028589</v>
      </c>
      <c r="C47" s="66"/>
      <c r="D47" s="66">
        <f>+(D13/D30-1)*100</f>
        <v>5.7313877638070165</v>
      </c>
      <c r="E47" s="66">
        <f>+(E13/E30-1)*100</f>
        <v>21.216784119955044</v>
      </c>
      <c r="F47" s="66">
        <f>+(F13/F30-1)*100</f>
        <v>24.523754721802014</v>
      </c>
      <c r="G47" s="66">
        <f>+(G13/G30-1)*100</f>
        <v>-5.609508041008516</v>
      </c>
      <c r="H47" s="66">
        <f t="shared" si="5"/>
        <v>16.901732282295058</v>
      </c>
      <c r="I47" s="66">
        <f t="shared" si="5"/>
        <v>-6.97087902257163</v>
      </c>
      <c r="J47" s="66">
        <f t="shared" si="5"/>
        <v>-1.214293785437992</v>
      </c>
      <c r="K47" s="66">
        <f t="shared" si="6"/>
        <v>21.551182696604123</v>
      </c>
      <c r="L47" s="66">
        <f aca="true" t="shared" si="8" ref="L47:L59">+(L13/L30-1)*100</f>
        <v>2.898684628213921</v>
      </c>
      <c r="M47" s="16"/>
      <c r="O47" s="31"/>
      <c r="P47" s="31"/>
      <c r="R47" s="16"/>
    </row>
    <row r="48" spans="1:18" ht="14.25" customHeight="1">
      <c r="A48" s="43" t="s">
        <v>3</v>
      </c>
      <c r="B48" s="66">
        <f t="shared" si="7"/>
        <v>12.882128738360276</v>
      </c>
      <c r="C48" s="66">
        <f aca="true" t="shared" si="9" ref="C48:C59">+(C14/C31-1)*100</f>
        <v>15.91767491872298</v>
      </c>
      <c r="D48" s="66"/>
      <c r="E48" s="66">
        <f>+(E14/E31-1)*100</f>
        <v>3.6650783939745857</v>
      </c>
      <c r="F48" s="66">
        <f>+(F14/F31-1)*100</f>
        <v>12.45520722848621</v>
      </c>
      <c r="G48" s="66">
        <f>+(G14/G31-1)*100</f>
        <v>-9.986546097656568</v>
      </c>
      <c r="H48" s="66">
        <f t="shared" si="5"/>
        <v>-6.926341180108031</v>
      </c>
      <c r="I48" s="66">
        <f t="shared" si="5"/>
        <v>3.124454866688642</v>
      </c>
      <c r="J48" s="66">
        <f t="shared" si="5"/>
        <v>32.20447627717151</v>
      </c>
      <c r="K48" s="66">
        <f t="shared" si="6"/>
        <v>2.0307377309672914</v>
      </c>
      <c r="L48" s="66">
        <f t="shared" si="8"/>
        <v>8.218592448589535</v>
      </c>
      <c r="M48" s="16"/>
      <c r="O48" s="31"/>
      <c r="P48" s="31"/>
      <c r="R48" s="16"/>
    </row>
    <row r="49" spans="1:18" ht="14.25" customHeight="1">
      <c r="A49" s="43" t="s">
        <v>4</v>
      </c>
      <c r="B49" s="66">
        <f t="shared" si="7"/>
        <v>-14.055253040708426</v>
      </c>
      <c r="C49" s="66">
        <f t="shared" si="9"/>
        <v>-34.258693090862366</v>
      </c>
      <c r="D49" s="66">
        <f aca="true" t="shared" si="10" ref="D49:D59">+(D15/D32-1)*100</f>
        <v>-2.7825813884256645</v>
      </c>
      <c r="E49" s="66"/>
      <c r="F49" s="66">
        <f>+(F15/F32-1)*100</f>
        <v>-20.92870098082723</v>
      </c>
      <c r="G49" s="66">
        <f>+(G15/G32-1)*100</f>
        <v>18.164928604985597</v>
      </c>
      <c r="H49" s="66">
        <f t="shared" si="5"/>
        <v>-5.934594517731195</v>
      </c>
      <c r="I49" s="66">
        <f t="shared" si="5"/>
        <v>146.763673741449</v>
      </c>
      <c r="J49" s="66">
        <f t="shared" si="5"/>
        <v>-16.32778364254631</v>
      </c>
      <c r="K49" s="66">
        <f t="shared" si="6"/>
        <v>-21.3006508771276</v>
      </c>
      <c r="L49" s="66">
        <f t="shared" si="8"/>
        <v>-6.6257188942084095</v>
      </c>
      <c r="M49" s="4"/>
      <c r="O49" s="31"/>
      <c r="P49" s="31"/>
      <c r="R49" s="16"/>
    </row>
    <row r="50" spans="1:18" ht="14.25" customHeight="1">
      <c r="A50" s="47" t="s">
        <v>5</v>
      </c>
      <c r="B50" s="66">
        <f t="shared" si="7"/>
        <v>-8.21882417925497</v>
      </c>
      <c r="C50" s="66">
        <f t="shared" si="9"/>
        <v>46.02945139072128</v>
      </c>
      <c r="D50" s="66">
        <f t="shared" si="10"/>
        <v>-7.5353881003900725</v>
      </c>
      <c r="E50" s="66">
        <f aca="true" t="shared" si="11" ref="E50:E59">+(E16/E33-1)*100</f>
        <v>0.5528187961330033</v>
      </c>
      <c r="F50" s="66"/>
      <c r="G50" s="66">
        <f>+(G16/G33-1)*100</f>
        <v>-12.467382377967818</v>
      </c>
      <c r="H50" s="66">
        <f t="shared" si="5"/>
        <v>-17.596103191579694</v>
      </c>
      <c r="I50" s="66">
        <f t="shared" si="5"/>
        <v>10.541262945115793</v>
      </c>
      <c r="J50" s="66">
        <f t="shared" si="5"/>
        <v>-14.721615200838901</v>
      </c>
      <c r="K50" s="66">
        <f t="shared" si="6"/>
        <v>-58.643232262919476</v>
      </c>
      <c r="L50" s="66">
        <f t="shared" si="8"/>
        <v>-10.462093143536533</v>
      </c>
      <c r="M50" s="4"/>
      <c r="O50" s="31"/>
      <c r="P50" s="31"/>
      <c r="R50" s="16"/>
    </row>
    <row r="51" spans="1:18" ht="14.25" customHeight="1">
      <c r="A51" s="43" t="s">
        <v>7</v>
      </c>
      <c r="B51" s="66">
        <f t="shared" si="7"/>
        <v>222.65022734902087</v>
      </c>
      <c r="C51" s="66">
        <f t="shared" si="9"/>
        <v>517.7476838818034</v>
      </c>
      <c r="D51" s="66">
        <f t="shared" si="10"/>
        <v>-8.929226478669317</v>
      </c>
      <c r="E51" s="66">
        <f t="shared" si="11"/>
        <v>3.783009089259126</v>
      </c>
      <c r="F51" s="66">
        <f aca="true" t="shared" si="12" ref="F51:F59">+(F17/F34-1)*100</f>
        <v>20.387423988292586</v>
      </c>
      <c r="G51" s="66">
        <f>+(G17/G34-1)*100</f>
        <v>-11.952475247524752</v>
      </c>
      <c r="H51" s="66">
        <f t="shared" si="5"/>
        <v>1.7836017361386736</v>
      </c>
      <c r="I51" s="66">
        <f t="shared" si="5"/>
        <v>-39.85838121865209</v>
      </c>
      <c r="J51" s="66">
        <f t="shared" si="5"/>
        <v>2.4964571495857513</v>
      </c>
      <c r="K51" s="66">
        <f t="shared" si="6"/>
        <v>-61.013283945501726</v>
      </c>
      <c r="L51" s="66">
        <f t="shared" si="8"/>
        <v>15.24197868415813</v>
      </c>
      <c r="M51" s="4"/>
      <c r="R51" s="16"/>
    </row>
    <row r="52" spans="1:18" ht="14.25" customHeight="1">
      <c r="A52" s="43" t="s">
        <v>16</v>
      </c>
      <c r="B52" s="66">
        <f t="shared" si="7"/>
        <v>-15.778096222201244</v>
      </c>
      <c r="C52" s="66">
        <f t="shared" si="9"/>
        <v>-43.97097392854019</v>
      </c>
      <c r="D52" s="66">
        <f t="shared" si="10"/>
        <v>-9.8355439034564</v>
      </c>
      <c r="E52" s="66">
        <f t="shared" si="11"/>
        <v>3.796001721636144</v>
      </c>
      <c r="F52" s="66">
        <f t="shared" si="12"/>
        <v>3.5651989238774107</v>
      </c>
      <c r="G52" s="66"/>
      <c r="H52" s="66">
        <f t="shared" si="5"/>
        <v>6.690968619238058</v>
      </c>
      <c r="I52" s="66">
        <f t="shared" si="5"/>
        <v>142.47360508520111</v>
      </c>
      <c r="J52" s="66">
        <f t="shared" si="5"/>
        <v>10.84828447286168</v>
      </c>
      <c r="K52" s="66">
        <f t="shared" si="6"/>
        <v>22.539436389303958</v>
      </c>
      <c r="L52" s="66">
        <f t="shared" si="8"/>
        <v>-0.28776112619930405</v>
      </c>
      <c r="M52" s="4"/>
      <c r="O52" s="31"/>
      <c r="P52" s="31"/>
      <c r="R52" s="16"/>
    </row>
    <row r="53" spans="1:18" ht="14.25" customHeight="1">
      <c r="A53" s="43" t="s">
        <v>8</v>
      </c>
      <c r="B53" s="66">
        <f t="shared" si="7"/>
        <v>18.00451477489766</v>
      </c>
      <c r="C53" s="66">
        <f t="shared" si="9"/>
        <v>-33.239938970188156</v>
      </c>
      <c r="D53" s="66">
        <f t="shared" si="10"/>
        <v>-10.840731697475558</v>
      </c>
      <c r="E53" s="66">
        <f t="shared" si="11"/>
        <v>0.18308034654705985</v>
      </c>
      <c r="F53" s="66">
        <f t="shared" si="12"/>
        <v>0.16506216375493654</v>
      </c>
      <c r="G53" s="66">
        <f aca="true" t="shared" si="13" ref="G53:H59">+(G19/G36-1)*100</f>
        <v>-1.3291410524480574</v>
      </c>
      <c r="H53" s="66"/>
      <c r="I53" s="66">
        <f>(I19/I36-1)*100</f>
        <v>211.4075956368435</v>
      </c>
      <c r="J53" s="66">
        <f>(J19/J36-1)*100</f>
        <v>21.277874443433078</v>
      </c>
      <c r="K53" s="66">
        <f t="shared" si="6"/>
        <v>6.2013488827637575</v>
      </c>
      <c r="L53" s="66">
        <f t="shared" si="8"/>
        <v>0.5247649264050969</v>
      </c>
      <c r="M53" s="4"/>
      <c r="O53" s="31"/>
      <c r="P53" s="31"/>
      <c r="R53" s="16"/>
    </row>
    <row r="54" spans="1:18" ht="14.25" customHeight="1">
      <c r="A54" s="80" t="s">
        <v>64</v>
      </c>
      <c r="B54" s="66">
        <f t="shared" si="7"/>
        <v>-20.445111985416</v>
      </c>
      <c r="C54" s="66">
        <f t="shared" si="9"/>
        <v>-14.337779798392347</v>
      </c>
      <c r="D54" s="66">
        <f t="shared" si="10"/>
        <v>594.7386819238945</v>
      </c>
      <c r="E54" s="66">
        <f t="shared" si="11"/>
        <v>-0.2947693888850633</v>
      </c>
      <c r="F54" s="66">
        <f t="shared" si="12"/>
        <v>13.21069558349819</v>
      </c>
      <c r="G54" s="66">
        <f t="shared" si="13"/>
        <v>-60.096593211839775</v>
      </c>
      <c r="H54" s="66">
        <f t="shared" si="13"/>
        <v>-4.71683524744142</v>
      </c>
      <c r="I54" s="66">
        <f>(I20/I37-1)*100</f>
        <v>-24.668604270011574</v>
      </c>
      <c r="J54" s="66">
        <f>(J20/J37-1)*100</f>
        <v>33.1382310565395</v>
      </c>
      <c r="K54" s="66">
        <f t="shared" si="6"/>
        <v>-12.182236540170932</v>
      </c>
      <c r="L54" s="66">
        <f t="shared" si="8"/>
        <v>32.006613371696304</v>
      </c>
      <c r="M54" s="4"/>
      <c r="O54" s="31"/>
      <c r="P54" s="31"/>
      <c r="R54" s="16"/>
    </row>
    <row r="55" spans="1:18" ht="14.25" customHeight="1">
      <c r="A55" s="43" t="s">
        <v>9</v>
      </c>
      <c r="B55" s="66">
        <f t="shared" si="7"/>
        <v>2.7312895769601386</v>
      </c>
      <c r="C55" s="66">
        <f t="shared" si="9"/>
        <v>17.262340917696207</v>
      </c>
      <c r="D55" s="66">
        <f t="shared" si="10"/>
        <v>19.470770996763864</v>
      </c>
      <c r="E55" s="66">
        <f t="shared" si="11"/>
        <v>1.205602255131799</v>
      </c>
      <c r="F55" s="66">
        <f t="shared" si="12"/>
        <v>13.88775728131133</v>
      </c>
      <c r="G55" s="66">
        <f t="shared" si="13"/>
        <v>-9.992101105845187</v>
      </c>
      <c r="H55" s="66">
        <f>(H21/H38-1)*100</f>
        <v>18.602716772113205</v>
      </c>
      <c r="I55" s="66"/>
      <c r="J55" s="66">
        <f>(J21/J38-1)*100</f>
        <v>-13.09065711168106</v>
      </c>
      <c r="K55" s="66">
        <f t="shared" si="6"/>
        <v>-2.6447762424798182</v>
      </c>
      <c r="L55" s="66">
        <f t="shared" si="8"/>
        <v>12.82409239943194</v>
      </c>
      <c r="M55" s="4"/>
      <c r="O55" s="31"/>
      <c r="P55" s="31"/>
      <c r="R55" s="16"/>
    </row>
    <row r="56" spans="1:18" ht="14.25" customHeight="1">
      <c r="A56" s="43" t="s">
        <v>10</v>
      </c>
      <c r="B56" s="66">
        <f t="shared" si="7"/>
        <v>-7.576178622671604</v>
      </c>
      <c r="C56" s="66">
        <f t="shared" si="9"/>
        <v>-2.873673207446903</v>
      </c>
      <c r="D56" s="66">
        <f t="shared" si="10"/>
        <v>-13.793053925086053</v>
      </c>
      <c r="E56" s="66">
        <f t="shared" si="11"/>
        <v>7.039065637520281</v>
      </c>
      <c r="F56" s="66">
        <f t="shared" si="12"/>
        <v>-11.584464315324839</v>
      </c>
      <c r="G56" s="66">
        <f t="shared" si="13"/>
        <v>-1.3828436181311132</v>
      </c>
      <c r="H56" s="66">
        <f>(H22/H39-1)*100</f>
        <v>16.75533228209709</v>
      </c>
      <c r="I56" s="66">
        <f>(I22/I39-1)*100</f>
        <v>30.50883681719625</v>
      </c>
      <c r="J56" s="66"/>
      <c r="K56" s="66">
        <f t="shared" si="6"/>
        <v>-4.415718259425827</v>
      </c>
      <c r="L56" s="66">
        <f t="shared" si="8"/>
        <v>-2.5037864350882844</v>
      </c>
      <c r="M56" s="4"/>
      <c r="O56" s="31"/>
      <c r="P56" s="31"/>
      <c r="R56" s="16"/>
    </row>
    <row r="57" spans="1:18" ht="14.25" customHeight="1">
      <c r="A57" s="43" t="s">
        <v>11</v>
      </c>
      <c r="B57" s="66">
        <f t="shared" si="7"/>
        <v>-4.80801186387585</v>
      </c>
      <c r="C57" s="66">
        <f t="shared" si="9"/>
        <v>37.913594541876236</v>
      </c>
      <c r="D57" s="66">
        <f t="shared" si="10"/>
        <v>-9.918565385412471</v>
      </c>
      <c r="E57" s="66">
        <f t="shared" si="11"/>
        <v>16.97460276381333</v>
      </c>
      <c r="F57" s="66">
        <f t="shared" si="12"/>
        <v>28.761562774762762</v>
      </c>
      <c r="G57" s="66">
        <f t="shared" si="13"/>
        <v>47.92364707076862</v>
      </c>
      <c r="H57" s="66">
        <f>(H23/H40-1)*100</f>
        <v>1.5320501530655894</v>
      </c>
      <c r="I57" s="66">
        <f>(I23/I40-1)*100</f>
        <v>258.5861546771289</v>
      </c>
      <c r="J57" s="66">
        <f>(J23/J40-1)*100</f>
        <v>16.015699679628682</v>
      </c>
      <c r="K57" s="66"/>
      <c r="L57" s="66">
        <f t="shared" si="8"/>
        <v>-0.6009733037758203</v>
      </c>
      <c r="M57" s="4"/>
      <c r="O57" s="31"/>
      <c r="P57" s="31"/>
      <c r="R57" s="16"/>
    </row>
    <row r="58" spans="1:18" ht="14.25" customHeight="1">
      <c r="A58" s="43" t="s">
        <v>12</v>
      </c>
      <c r="B58" s="66">
        <f t="shared" si="7"/>
        <v>-8.031974060123726</v>
      </c>
      <c r="C58" s="66">
        <f t="shared" si="9"/>
        <v>-59.54312818049521</v>
      </c>
      <c r="D58" s="66">
        <f t="shared" si="10"/>
        <v>-16.602138608617757</v>
      </c>
      <c r="E58" s="66">
        <f t="shared" si="11"/>
        <v>-34.86577041779295</v>
      </c>
      <c r="F58" s="66">
        <f t="shared" si="12"/>
        <v>-13.78079745413533</v>
      </c>
      <c r="G58" s="66">
        <f t="shared" si="13"/>
        <v>-52.010348650300806</v>
      </c>
      <c r="H58" s="66">
        <f>(H24/H41-1)*100</f>
        <v>1.0490178533241412</v>
      </c>
      <c r="I58" s="66">
        <f>(I24/I41-1)*100</f>
        <v>-19.100328936257092</v>
      </c>
      <c r="J58" s="66">
        <f>(J24/J41-1)*100</f>
        <v>-40.23494005170678</v>
      </c>
      <c r="K58" s="66">
        <f>+(K24/K41-1)*100</f>
        <v>-13.15619580831302</v>
      </c>
      <c r="L58" s="66">
        <f t="shared" si="8"/>
        <v>-18.03706515953376</v>
      </c>
      <c r="M58" s="4"/>
      <c r="O58" s="31"/>
      <c r="P58" s="31"/>
      <c r="R58" s="16"/>
    </row>
    <row r="59" spans="1:18" s="3" customFormat="1" ht="15" customHeight="1">
      <c r="A59" s="51" t="s">
        <v>29</v>
      </c>
      <c r="B59" s="67">
        <f t="shared" si="7"/>
        <v>2.8760883019358863</v>
      </c>
      <c r="C59" s="67">
        <f t="shared" si="9"/>
        <v>10.735945637087463</v>
      </c>
      <c r="D59" s="67">
        <f t="shared" si="10"/>
        <v>5.381726066182901</v>
      </c>
      <c r="E59" s="67">
        <f t="shared" si="11"/>
        <v>1.0698855807448338</v>
      </c>
      <c r="F59" s="67">
        <f t="shared" si="12"/>
        <v>-0.8864712708740563</v>
      </c>
      <c r="G59" s="67">
        <f t="shared" si="13"/>
        <v>-12.775423443738475</v>
      </c>
      <c r="H59" s="67">
        <f>(H25/H42-1)*100</f>
        <v>-5.204158138169735</v>
      </c>
      <c r="I59" s="67">
        <f>(I25/I42-1)*100</f>
        <v>30.014717640104482</v>
      </c>
      <c r="J59" s="67">
        <f>(J25/J42-1)*100</f>
        <v>-3.329594006283787</v>
      </c>
      <c r="K59" s="67">
        <f>+(K25/K42-1)*100</f>
        <v>-3.808572125617571</v>
      </c>
      <c r="L59" s="67">
        <f t="shared" si="8"/>
        <v>1.8150939630109386</v>
      </c>
      <c r="R59" s="32"/>
    </row>
    <row r="60" spans="1:12" ht="10.5" customHeight="1" thickBot="1">
      <c r="A60" s="59"/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</row>
    <row r="61" spans="1:12" ht="2.25" customHeight="1">
      <c r="A61" s="69"/>
      <c r="B61" s="70"/>
      <c r="C61" s="70"/>
      <c r="D61" s="70"/>
      <c r="E61" s="70"/>
      <c r="F61" s="70"/>
      <c r="G61" s="70"/>
      <c r="H61" s="70"/>
      <c r="I61" s="70"/>
      <c r="J61" s="70"/>
      <c r="K61" s="70"/>
      <c r="L61" s="70"/>
    </row>
    <row r="62" spans="1:12" s="12" customFormat="1" ht="12">
      <c r="A62" s="56" t="s">
        <v>42</v>
      </c>
      <c r="B62" s="57"/>
      <c r="C62" s="57"/>
      <c r="D62" s="57"/>
      <c r="E62" s="57"/>
      <c r="F62" s="57"/>
      <c r="G62" s="57"/>
      <c r="H62" s="57"/>
      <c r="I62" s="57"/>
      <c r="J62" s="57"/>
      <c r="K62" s="57"/>
      <c r="L62" s="57"/>
    </row>
  </sheetData>
  <sheetProtection selectLockedCells="1"/>
  <mergeCells count="1">
    <mergeCell ref="A7:A8"/>
  </mergeCells>
  <printOptions/>
  <pageMargins left="0.7874015748031497" right="0.7874015748031497" top="0.7874015748031497" bottom="0.7874015748031497" header="0" footer="0"/>
  <pageSetup fitToHeight="1" fitToWidth="1"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63"/>
  <sheetViews>
    <sheetView zoomScalePageLayoutView="0" workbookViewId="0" topLeftCell="A1">
      <pane xSplit="1" ySplit="8" topLeftCell="B9" activePane="bottomRight" state="frozen"/>
      <selection pane="topLeft" activeCell="A1" sqref="A1:L62"/>
      <selection pane="topRight" activeCell="A1" sqref="A1:L62"/>
      <selection pane="bottomLeft" activeCell="A1" sqref="A1:L62"/>
      <selection pane="bottomRight" activeCell="A64" sqref="A64:IV74"/>
    </sheetView>
  </sheetViews>
  <sheetFormatPr defaultColWidth="11.421875" defaultRowHeight="12.75"/>
  <cols>
    <col min="1" max="1" width="10.00390625" style="0" customWidth="1"/>
    <col min="2" max="11" width="8.421875" style="0" customWidth="1"/>
    <col min="12" max="12" width="9.140625" style="0" customWidth="1"/>
    <col min="14" max="14" width="24.28125" style="0" customWidth="1"/>
    <col min="15" max="15" width="11.57421875" style="0" bestFit="1" customWidth="1"/>
  </cols>
  <sheetData>
    <row r="1" spans="1:12" ht="12.75">
      <c r="A1" s="36" t="s">
        <v>59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</row>
    <row r="2" spans="1:12" ht="12.75">
      <c r="A2" s="36" t="s">
        <v>54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</row>
    <row r="3" spans="1:12" ht="12.75">
      <c r="A3" s="36" t="s">
        <v>19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</row>
    <row r="4" spans="1:12" ht="12.75">
      <c r="A4" s="37" t="str">
        <f>+Exp!A4</f>
        <v>Enero-setiembre 2012-2013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</row>
    <row r="5" spans="1:12" ht="12.75">
      <c r="A5" s="37" t="s">
        <v>36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</row>
    <row r="6" spans="1:12" ht="7.5" customHeight="1" thickBot="1">
      <c r="A6" s="59"/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</row>
    <row r="7" spans="1:12" ht="15" customHeight="1" thickBot="1">
      <c r="A7" s="94" t="s">
        <v>0</v>
      </c>
      <c r="B7" s="88" t="s">
        <v>26</v>
      </c>
      <c r="C7" s="88"/>
      <c r="D7" s="88"/>
      <c r="E7" s="88"/>
      <c r="F7" s="88"/>
      <c r="G7" s="88"/>
      <c r="H7" s="88"/>
      <c r="I7" s="88"/>
      <c r="J7" s="88"/>
      <c r="K7" s="88"/>
      <c r="L7" s="88"/>
    </row>
    <row r="8" spans="1:12" ht="15" customHeight="1" thickBot="1">
      <c r="A8" s="95"/>
      <c r="B8" s="88" t="s">
        <v>30</v>
      </c>
      <c r="C8" s="88" t="s">
        <v>31</v>
      </c>
      <c r="D8" s="88" t="s">
        <v>32</v>
      </c>
      <c r="E8" s="89" t="s">
        <v>33</v>
      </c>
      <c r="F8" s="88" t="s">
        <v>40</v>
      </c>
      <c r="G8" s="88" t="s">
        <v>34</v>
      </c>
      <c r="H8" s="88" t="s">
        <v>35</v>
      </c>
      <c r="I8" s="88" t="s">
        <v>41</v>
      </c>
      <c r="J8" s="88" t="s">
        <v>37</v>
      </c>
      <c r="K8" s="88" t="s">
        <v>38</v>
      </c>
      <c r="L8" s="88" t="s">
        <v>18</v>
      </c>
    </row>
    <row r="9" spans="1:12" ht="9" customHeight="1">
      <c r="A9" s="60"/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</row>
    <row r="10" spans="1:12" ht="15">
      <c r="A10" s="61"/>
      <c r="B10" s="61" t="str">
        <f>+Exp!B10</f>
        <v>Enero-setiembre 2013</v>
      </c>
      <c r="C10" s="61"/>
      <c r="D10" s="62"/>
      <c r="E10" s="62"/>
      <c r="F10" s="62"/>
      <c r="G10" s="62"/>
      <c r="H10" s="62"/>
      <c r="I10" s="62"/>
      <c r="J10" s="62"/>
      <c r="K10" s="62"/>
      <c r="L10" s="62"/>
    </row>
    <row r="11" spans="1:12" ht="9" customHeight="1">
      <c r="A11" s="63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</row>
    <row r="12" spans="1:22" s="5" customFormat="1" ht="14.25" customHeight="1">
      <c r="A12" s="43" t="s">
        <v>1</v>
      </c>
      <c r="B12" s="79"/>
      <c r="C12" s="79">
        <v>745.388301</v>
      </c>
      <c r="D12" s="79">
        <v>12725.316</v>
      </c>
      <c r="E12" s="79">
        <v>3268.954330590022</v>
      </c>
      <c r="F12" s="79">
        <v>1499.7996128099999</v>
      </c>
      <c r="G12" s="79">
        <v>305.910474</v>
      </c>
      <c r="H12" s="79">
        <v>878.647614</v>
      </c>
      <c r="I12" s="79">
        <v>1292.661526</v>
      </c>
      <c r="J12" s="79">
        <v>1273.6203473</v>
      </c>
      <c r="K12" s="79">
        <v>1233.5091470000002</v>
      </c>
      <c r="L12" s="71">
        <f aca="true" t="shared" si="0" ref="L12:L25">SUM(B12:K12)</f>
        <v>23223.807352700023</v>
      </c>
      <c r="N12" s="12"/>
      <c r="O12" s="16"/>
      <c r="P12" s="8"/>
      <c r="Q12" s="16"/>
      <c r="R12" s="16"/>
      <c r="S12" s="16"/>
      <c r="T12" s="16"/>
      <c r="U12" s="16"/>
      <c r="V12" s="16"/>
    </row>
    <row r="13" spans="1:22" s="5" customFormat="1" ht="14.25" customHeight="1">
      <c r="A13" s="43" t="s">
        <v>2</v>
      </c>
      <c r="B13" s="79">
        <v>1609.26970593</v>
      </c>
      <c r="C13" s="79"/>
      <c r="D13" s="79">
        <v>2966.8</v>
      </c>
      <c r="E13" s="79">
        <v>114.38532433000003</v>
      </c>
      <c r="F13" s="79">
        <v>354.70689532999995</v>
      </c>
      <c r="G13" s="79">
        <v>71.122625</v>
      </c>
      <c r="H13" s="79">
        <v>25.078499</v>
      </c>
      <c r="I13" s="79">
        <v>22.507648</v>
      </c>
      <c r="J13" s="79">
        <v>427.6277687</v>
      </c>
      <c r="K13" s="79">
        <v>8.374989</v>
      </c>
      <c r="L13" s="71">
        <f t="shared" si="0"/>
        <v>5599.8734552900005</v>
      </c>
      <c r="N13" s="12"/>
      <c r="O13" s="16"/>
      <c r="P13" s="8"/>
      <c r="Q13" s="16"/>
      <c r="R13" s="16"/>
      <c r="S13" s="16"/>
      <c r="T13" s="16"/>
      <c r="U13" s="16"/>
      <c r="V13" s="16"/>
    </row>
    <row r="14" spans="1:22" s="5" customFormat="1" ht="14.25" customHeight="1">
      <c r="A14" s="43" t="s">
        <v>3</v>
      </c>
      <c r="B14" s="79">
        <v>14717.458102010001</v>
      </c>
      <c r="C14" s="79">
        <v>1143.508726</v>
      </c>
      <c r="D14" s="79"/>
      <c r="E14" s="79">
        <v>3644.331426369991</v>
      </c>
      <c r="F14" s="79">
        <v>1929.25183442</v>
      </c>
      <c r="G14" s="79">
        <v>675.020899</v>
      </c>
      <c r="H14" s="79">
        <v>3375.6798519999998</v>
      </c>
      <c r="I14" s="79">
        <v>2457.8776239999997</v>
      </c>
      <c r="J14" s="79">
        <v>1792.7662779999998</v>
      </c>
      <c r="K14" s="79">
        <v>1348.259048</v>
      </c>
      <c r="L14" s="71">
        <f t="shared" si="0"/>
        <v>31084.15378979999</v>
      </c>
      <c r="N14" s="12"/>
      <c r="O14" s="16"/>
      <c r="P14" s="8"/>
      <c r="Q14" s="16"/>
      <c r="R14" s="16"/>
      <c r="S14" s="16"/>
      <c r="T14" s="16"/>
      <c r="U14" s="16"/>
      <c r="V14" s="16"/>
    </row>
    <row r="15" spans="1:22" s="5" customFormat="1" ht="14.25" customHeight="1">
      <c r="A15" s="43" t="s">
        <v>4</v>
      </c>
      <c r="B15" s="79">
        <v>724.32906529</v>
      </c>
      <c r="C15" s="79">
        <v>402.099293</v>
      </c>
      <c r="D15" s="79">
        <v>2962.388</v>
      </c>
      <c r="E15" s="79"/>
      <c r="F15" s="79">
        <v>685.88220526</v>
      </c>
      <c r="G15" s="79">
        <v>483.13096499999995</v>
      </c>
      <c r="H15" s="79">
        <v>1120.3976839999998</v>
      </c>
      <c r="I15" s="79">
        <v>108.85369899999999</v>
      </c>
      <c r="J15" s="79">
        <v>1013.8799787999999</v>
      </c>
      <c r="K15" s="79">
        <v>105.74318099999999</v>
      </c>
      <c r="L15" s="71">
        <f t="shared" si="0"/>
        <v>7606.704071349999</v>
      </c>
      <c r="N15" s="12"/>
      <c r="O15" s="16"/>
      <c r="P15" s="8"/>
      <c r="Q15" s="16"/>
      <c r="R15" s="16"/>
      <c r="S15" s="16"/>
      <c r="T15" s="16"/>
      <c r="U15" s="16"/>
      <c r="V15" s="16"/>
    </row>
    <row r="16" spans="1:22" s="5" customFormat="1" ht="14.25" customHeight="1">
      <c r="A16" s="47" t="s">
        <v>5</v>
      </c>
      <c r="B16" s="79">
        <v>344.0174601999999</v>
      </c>
      <c r="C16" s="79">
        <v>133.393424</v>
      </c>
      <c r="D16" s="79">
        <v>1086.641</v>
      </c>
      <c r="E16" s="79">
        <v>1305.0460080500043</v>
      </c>
      <c r="F16" s="79"/>
      <c r="G16" s="79">
        <v>1731.232335</v>
      </c>
      <c r="H16" s="79">
        <v>687.4359499999999</v>
      </c>
      <c r="I16" s="79">
        <v>14.618625</v>
      </c>
      <c r="J16" s="79">
        <v>1130.2799875</v>
      </c>
      <c r="K16" s="79">
        <v>12.09004</v>
      </c>
      <c r="L16" s="71">
        <f t="shared" si="0"/>
        <v>6444.754829750004</v>
      </c>
      <c r="N16" s="12"/>
      <c r="O16" s="16"/>
      <c r="P16" s="8"/>
      <c r="Q16" s="16"/>
      <c r="R16" s="16"/>
      <c r="S16" s="16"/>
      <c r="T16" s="16"/>
      <c r="U16" s="16"/>
      <c r="V16" s="16"/>
    </row>
    <row r="17" spans="1:22" s="5" customFormat="1" ht="14.25" customHeight="1">
      <c r="A17" s="43" t="s">
        <v>7</v>
      </c>
      <c r="B17" s="79">
        <v>9.42605089</v>
      </c>
      <c r="C17" s="79">
        <v>1.21451</v>
      </c>
      <c r="D17" s="79">
        <v>57.717</v>
      </c>
      <c r="E17" s="79">
        <v>3.75746628</v>
      </c>
      <c r="F17" s="79">
        <v>29.66000807</v>
      </c>
      <c r="G17" s="79">
        <v>8.585</v>
      </c>
      <c r="H17" s="79">
        <v>10.491635</v>
      </c>
      <c r="I17" s="79">
        <v>0.543825</v>
      </c>
      <c r="J17" s="79">
        <v>1.6075766999999999</v>
      </c>
      <c r="K17" s="79">
        <v>0.68804</v>
      </c>
      <c r="L17" s="71">
        <f t="shared" si="0"/>
        <v>123.69111194</v>
      </c>
      <c r="N17" s="12"/>
      <c r="O17" s="16"/>
      <c r="P17" s="8"/>
      <c r="Q17" s="16"/>
      <c r="R17" s="16"/>
      <c r="S17" s="16"/>
      <c r="T17" s="16"/>
      <c r="U17" s="16"/>
      <c r="V17" s="16"/>
    </row>
    <row r="18" spans="1:22" s="5" customFormat="1" ht="14.25" customHeight="1">
      <c r="A18" s="43" t="s">
        <v>16</v>
      </c>
      <c r="B18" s="79">
        <v>184.84614623000002</v>
      </c>
      <c r="C18" s="79">
        <v>25.496136999999997</v>
      </c>
      <c r="D18" s="79">
        <v>104.766</v>
      </c>
      <c r="E18" s="79">
        <v>1951.9292107800034</v>
      </c>
      <c r="F18" s="79">
        <v>644.3341518899999</v>
      </c>
      <c r="G18" s="79"/>
      <c r="H18" s="79">
        <v>76.25126300000001</v>
      </c>
      <c r="I18" s="79">
        <v>2.928436</v>
      </c>
      <c r="J18" s="79">
        <v>1563.2820502</v>
      </c>
      <c r="K18" s="79">
        <v>18.02779</v>
      </c>
      <c r="L18" s="71">
        <f t="shared" si="0"/>
        <v>4571.861185100004</v>
      </c>
      <c r="N18" s="12"/>
      <c r="O18" s="16"/>
      <c r="P18" s="8"/>
      <c r="Q18" s="16"/>
      <c r="R18" s="16"/>
      <c r="S18" s="16"/>
      <c r="T18" s="16"/>
      <c r="U18" s="16"/>
      <c r="V18" s="16"/>
    </row>
    <row r="19" spans="1:22" s="5" customFormat="1" ht="14.25" customHeight="1">
      <c r="A19" s="43" t="s">
        <v>8</v>
      </c>
      <c r="B19" s="79">
        <v>1557.6957638299998</v>
      </c>
      <c r="C19" s="79">
        <v>206.085914</v>
      </c>
      <c r="D19" s="79">
        <v>4269.683</v>
      </c>
      <c r="E19" s="79">
        <v>1837.369598519998</v>
      </c>
      <c r="F19" s="79">
        <v>4119.20482225</v>
      </c>
      <c r="G19" s="79">
        <v>738.240643</v>
      </c>
      <c r="H19" s="79"/>
      <c r="I19" s="79">
        <v>124.893802</v>
      </c>
      <c r="J19" s="79">
        <v>1379.5781536</v>
      </c>
      <c r="K19" s="79">
        <v>211.75059299999998</v>
      </c>
      <c r="L19" s="71">
        <f t="shared" si="0"/>
        <v>14444.502290199996</v>
      </c>
      <c r="N19" s="12"/>
      <c r="O19" s="16"/>
      <c r="P19" s="8"/>
      <c r="Q19" s="16"/>
      <c r="R19" s="16"/>
      <c r="S19" s="16"/>
      <c r="T19" s="16"/>
      <c r="U19" s="16"/>
      <c r="V19" s="16"/>
    </row>
    <row r="20" spans="1:22" s="5" customFormat="1" ht="14.25" customHeight="1">
      <c r="A20" s="80" t="s">
        <v>64</v>
      </c>
      <c r="B20" s="79">
        <v>2.0868393</v>
      </c>
      <c r="C20" s="79">
        <v>2.776785</v>
      </c>
      <c r="D20" s="79">
        <v>7.829</v>
      </c>
      <c r="E20" s="79">
        <v>17.141082289999996</v>
      </c>
      <c r="F20" s="79">
        <v>46.48007937</v>
      </c>
      <c r="G20" s="79">
        <v>1355.86092</v>
      </c>
      <c r="H20" s="79">
        <v>13.532509999999998</v>
      </c>
      <c r="I20" s="79">
        <v>6.615416</v>
      </c>
      <c r="J20" s="79">
        <v>58.0140247</v>
      </c>
      <c r="K20" s="79">
        <v>1.7245229999999998</v>
      </c>
      <c r="L20" s="71">
        <f t="shared" si="0"/>
        <v>1512.06117966</v>
      </c>
      <c r="N20" s="12"/>
      <c r="O20" s="16"/>
      <c r="P20" s="8"/>
      <c r="Q20" s="16"/>
      <c r="R20" s="16"/>
      <c r="S20" s="16"/>
      <c r="T20" s="16"/>
      <c r="U20" s="16"/>
      <c r="V20" s="16"/>
    </row>
    <row r="21" spans="1:22" s="5" customFormat="1" ht="14.25" customHeight="1">
      <c r="A21" s="43" t="s">
        <v>9</v>
      </c>
      <c r="B21" s="79">
        <v>415.43454489</v>
      </c>
      <c r="C21" s="79">
        <v>55.476991000000005</v>
      </c>
      <c r="D21" s="79">
        <v>785.426</v>
      </c>
      <c r="E21" s="79">
        <v>331.51612436000005</v>
      </c>
      <c r="F21" s="79">
        <v>71.36589358</v>
      </c>
      <c r="G21" s="79">
        <v>12.591</v>
      </c>
      <c r="H21" s="79">
        <v>308.593672</v>
      </c>
      <c r="I21" s="79"/>
      <c r="J21" s="79">
        <v>174.941257</v>
      </c>
      <c r="K21" s="79">
        <v>87.24641</v>
      </c>
      <c r="L21" s="71">
        <f t="shared" si="0"/>
        <v>2242.5918928300002</v>
      </c>
      <c r="N21" s="12"/>
      <c r="O21" s="16"/>
      <c r="P21" s="8"/>
      <c r="Q21" s="16"/>
      <c r="R21" s="16"/>
      <c r="S21" s="16"/>
      <c r="T21" s="16"/>
      <c r="U21" s="16"/>
      <c r="V21" s="16"/>
    </row>
    <row r="22" spans="1:22" s="5" customFormat="1" ht="14.25" customHeight="1">
      <c r="A22" s="43" t="s">
        <v>10</v>
      </c>
      <c r="B22" s="79">
        <v>102.16206904999999</v>
      </c>
      <c r="C22" s="79">
        <v>409.801589</v>
      </c>
      <c r="D22" s="79">
        <v>1311.925</v>
      </c>
      <c r="E22" s="79">
        <v>1294.160511829996</v>
      </c>
      <c r="F22" s="79">
        <v>607.91691741</v>
      </c>
      <c r="G22" s="79">
        <v>865.830102</v>
      </c>
      <c r="H22" s="79">
        <v>438.04684399999996</v>
      </c>
      <c r="I22" s="79">
        <v>7.399445</v>
      </c>
      <c r="J22" s="79"/>
      <c r="K22" s="79">
        <v>20.709286</v>
      </c>
      <c r="L22" s="71">
        <f t="shared" si="0"/>
        <v>5057.9517642899955</v>
      </c>
      <c r="N22" s="12"/>
      <c r="O22" s="16"/>
      <c r="P22" s="8"/>
      <c r="Q22" s="16"/>
      <c r="R22" s="16"/>
      <c r="S22" s="16"/>
      <c r="T22" s="16"/>
      <c r="U22" s="16"/>
      <c r="V22" s="16"/>
    </row>
    <row r="23" spans="1:22" s="5" customFormat="1" ht="14.25" customHeight="1">
      <c r="A23" s="43" t="s">
        <v>11</v>
      </c>
      <c r="B23" s="79">
        <v>418.25569884999993</v>
      </c>
      <c r="C23" s="79">
        <v>22.655274000000002</v>
      </c>
      <c r="D23" s="79">
        <v>1238.045</v>
      </c>
      <c r="E23" s="79">
        <v>140.13856594999987</v>
      </c>
      <c r="F23" s="79">
        <v>49.35197292</v>
      </c>
      <c r="G23" s="79">
        <v>47.789</v>
      </c>
      <c r="H23" s="79">
        <v>211.563627</v>
      </c>
      <c r="I23" s="79">
        <v>109.567306</v>
      </c>
      <c r="J23" s="79">
        <v>126.06285059999999</v>
      </c>
      <c r="K23" s="79"/>
      <c r="L23" s="71">
        <f t="shared" si="0"/>
        <v>2363.4292953199997</v>
      </c>
      <c r="N23" s="12"/>
      <c r="O23" s="16"/>
      <c r="P23" s="8"/>
      <c r="Q23" s="16"/>
      <c r="R23" s="16"/>
      <c r="S23" s="16"/>
      <c r="T23" s="16"/>
      <c r="U23" s="16"/>
      <c r="V23" s="16"/>
    </row>
    <row r="24" spans="1:22" s="5" customFormat="1" ht="14.25" customHeight="1">
      <c r="A24" s="43" t="s">
        <v>12</v>
      </c>
      <c r="B24" s="79">
        <v>40.49872719999999</v>
      </c>
      <c r="C24" s="79">
        <v>11.180729</v>
      </c>
      <c r="D24" s="79">
        <v>857.192</v>
      </c>
      <c r="E24" s="79">
        <v>112.5546992899999</v>
      </c>
      <c r="F24" s="79">
        <v>316.34361377</v>
      </c>
      <c r="G24" s="79">
        <v>44.824814999999994</v>
      </c>
      <c r="H24" s="79">
        <v>77.84557099999999</v>
      </c>
      <c r="I24" s="79">
        <v>0.13178700000000002</v>
      </c>
      <c r="J24" s="79">
        <v>77.01222940000001</v>
      </c>
      <c r="K24" s="79">
        <v>491.38534000000004</v>
      </c>
      <c r="L24" s="71">
        <f t="shared" si="0"/>
        <v>2028.96951166</v>
      </c>
      <c r="M24" s="16"/>
      <c r="N24" s="12"/>
      <c r="O24" s="16"/>
      <c r="P24" s="8"/>
      <c r="Q24" s="16"/>
      <c r="R24" s="16"/>
      <c r="S24" s="16"/>
      <c r="T24" s="16"/>
      <c r="U24" s="16"/>
      <c r="V24" s="16"/>
    </row>
    <row r="25" spans="1:16" s="6" customFormat="1" ht="15" customHeight="1">
      <c r="A25" s="51" t="s">
        <v>29</v>
      </c>
      <c r="B25" s="65">
        <f aca="true" t="shared" si="1" ref="B25:K25">SUM(B12:B24)</f>
        <v>20125.48017367</v>
      </c>
      <c r="C25" s="65">
        <f t="shared" si="1"/>
        <v>3159.0776730000007</v>
      </c>
      <c r="D25" s="65">
        <f t="shared" si="1"/>
        <v>28373.728</v>
      </c>
      <c r="E25" s="65">
        <f t="shared" si="1"/>
        <v>14021.284348640012</v>
      </c>
      <c r="F25" s="65">
        <f t="shared" si="1"/>
        <v>10354.298007079999</v>
      </c>
      <c r="G25" s="65">
        <f t="shared" si="1"/>
        <v>6340.138778</v>
      </c>
      <c r="H25" s="65">
        <f t="shared" si="1"/>
        <v>7223.564720999999</v>
      </c>
      <c r="I25" s="65">
        <f t="shared" si="1"/>
        <v>4148.599139000001</v>
      </c>
      <c r="J25" s="65">
        <f t="shared" si="1"/>
        <v>9018.672502499998</v>
      </c>
      <c r="K25" s="65">
        <f t="shared" si="1"/>
        <v>3539.508387</v>
      </c>
      <c r="L25" s="65">
        <f t="shared" si="0"/>
        <v>106304.35172989</v>
      </c>
      <c r="M25" s="23"/>
      <c r="N25" s="12"/>
      <c r="O25" s="22"/>
      <c r="P25" s="8"/>
    </row>
    <row r="26" spans="1:12" ht="9" customHeight="1">
      <c r="A26" s="35"/>
      <c r="B26" s="72"/>
      <c r="C26" s="72"/>
      <c r="D26" s="72"/>
      <c r="E26" s="72"/>
      <c r="F26" s="72"/>
      <c r="G26" s="72"/>
      <c r="H26" s="72"/>
      <c r="I26" s="72"/>
      <c r="J26" s="72"/>
      <c r="K26" s="72"/>
      <c r="L26" s="72"/>
    </row>
    <row r="27" spans="1:15" ht="15">
      <c r="A27" s="61"/>
      <c r="B27" s="61" t="str">
        <f>+Exp!B27</f>
        <v>Enero-setiembre 2012</v>
      </c>
      <c r="C27" s="61"/>
      <c r="D27" s="62"/>
      <c r="E27" s="62"/>
      <c r="F27" s="62"/>
      <c r="G27" s="62"/>
      <c r="H27" s="62"/>
      <c r="I27" s="62"/>
      <c r="J27" s="62"/>
      <c r="K27" s="62"/>
      <c r="L27" s="62"/>
      <c r="N27" s="28"/>
      <c r="O27" s="28"/>
    </row>
    <row r="28" spans="1:12" ht="9" customHeight="1">
      <c r="A28" s="63"/>
      <c r="B28" s="35"/>
      <c r="C28" s="35"/>
      <c r="D28" s="62"/>
      <c r="E28" s="62"/>
      <c r="F28" s="62"/>
      <c r="G28" s="62"/>
      <c r="H28" s="62"/>
      <c r="I28" s="62"/>
      <c r="J28" s="62"/>
      <c r="K28" s="62"/>
      <c r="L28" s="35"/>
    </row>
    <row r="29" spans="1:24" s="5" customFormat="1" ht="14.25" customHeight="1">
      <c r="A29" s="43" t="s">
        <v>1</v>
      </c>
      <c r="B29" s="79"/>
      <c r="C29" s="79">
        <v>803.2152199999999</v>
      </c>
      <c r="D29" s="79">
        <v>11604.6</v>
      </c>
      <c r="E29" s="79">
        <v>3767.8695290099904</v>
      </c>
      <c r="F29" s="79">
        <v>1838.76653052</v>
      </c>
      <c r="G29" s="79">
        <v>400.97748600000006</v>
      </c>
      <c r="H29" s="79">
        <v>728.072447</v>
      </c>
      <c r="I29" s="79">
        <v>1460.562689</v>
      </c>
      <c r="J29" s="79">
        <v>1487.8578979</v>
      </c>
      <c r="K29" s="79">
        <v>1303.802649</v>
      </c>
      <c r="L29" s="71">
        <f aca="true" t="shared" si="2" ref="L29:L42">SUM(B29:K29)</f>
        <v>23395.724448429988</v>
      </c>
      <c r="N29" s="12"/>
      <c r="O29" s="16"/>
      <c r="P29" s="16"/>
      <c r="Q29" s="16"/>
      <c r="R29" s="16"/>
      <c r="S29" s="16"/>
      <c r="T29" s="16"/>
      <c r="U29" s="16"/>
      <c r="V29" s="16"/>
      <c r="W29" s="16"/>
      <c r="X29" s="16"/>
    </row>
    <row r="30" spans="1:24" s="5" customFormat="1" ht="14.25" customHeight="1">
      <c r="A30" s="43" t="s">
        <v>2</v>
      </c>
      <c r="B30" s="79">
        <v>935.99119877</v>
      </c>
      <c r="C30" s="79"/>
      <c r="D30" s="79">
        <v>2412.424</v>
      </c>
      <c r="E30" s="79">
        <v>185.75735771999976</v>
      </c>
      <c r="F30" s="79">
        <v>172.20281831999998</v>
      </c>
      <c r="G30" s="79">
        <v>20.145149</v>
      </c>
      <c r="H30" s="79">
        <v>36.805363</v>
      </c>
      <c r="I30" s="79">
        <v>20.417381000000002</v>
      </c>
      <c r="J30" s="79">
        <v>322.9433429</v>
      </c>
      <c r="K30" s="79">
        <v>4.233086</v>
      </c>
      <c r="L30" s="71">
        <f t="shared" si="2"/>
        <v>4110.91969671</v>
      </c>
      <c r="M30" s="2"/>
      <c r="N30" s="12"/>
      <c r="O30" s="16"/>
      <c r="P30" s="16"/>
      <c r="Q30" s="16"/>
      <c r="R30" s="16"/>
      <c r="S30" s="16"/>
      <c r="T30" s="16"/>
      <c r="U30" s="16"/>
      <c r="V30" s="16"/>
      <c r="W30" s="16"/>
      <c r="X30" s="16"/>
    </row>
    <row r="31" spans="1:24" s="5" customFormat="1" ht="14.25" customHeight="1">
      <c r="A31" s="43" t="s">
        <v>3</v>
      </c>
      <c r="B31" s="79">
        <v>13243.738870099998</v>
      </c>
      <c r="C31" s="79">
        <v>1075.602374</v>
      </c>
      <c r="D31" s="79"/>
      <c r="E31" s="79">
        <v>3689.0292095299787</v>
      </c>
      <c r="F31" s="79">
        <v>2131.08744346</v>
      </c>
      <c r="G31" s="79">
        <v>732.536767</v>
      </c>
      <c r="H31" s="79">
        <v>3340.380074</v>
      </c>
      <c r="I31" s="79">
        <v>1928.931811</v>
      </c>
      <c r="J31" s="79">
        <v>1992.5279742</v>
      </c>
      <c r="K31" s="79">
        <v>1556.166854</v>
      </c>
      <c r="L31" s="71">
        <f t="shared" si="2"/>
        <v>29690.001377289977</v>
      </c>
      <c r="M31"/>
      <c r="N31" s="12"/>
      <c r="O31" s="16"/>
      <c r="P31" s="16"/>
      <c r="Q31" s="16"/>
      <c r="R31" s="16"/>
      <c r="S31" s="16"/>
      <c r="T31" s="16"/>
      <c r="U31" s="16"/>
      <c r="V31" s="16"/>
      <c r="W31" s="16"/>
      <c r="X31" s="16"/>
    </row>
    <row r="32" spans="1:24" s="5" customFormat="1" ht="14.25" customHeight="1">
      <c r="A32" s="43" t="s">
        <v>4</v>
      </c>
      <c r="B32" s="79">
        <v>732.4382848800001</v>
      </c>
      <c r="C32" s="79">
        <v>266.061376</v>
      </c>
      <c r="D32" s="79">
        <v>3061.949</v>
      </c>
      <c r="E32" s="79"/>
      <c r="F32" s="79">
        <v>733.76071878</v>
      </c>
      <c r="G32" s="79">
        <v>488.8737930000001</v>
      </c>
      <c r="H32" s="79">
        <v>1130.0881040000002</v>
      </c>
      <c r="I32" s="79">
        <v>104.927639</v>
      </c>
      <c r="J32" s="79">
        <v>931.6985397000001</v>
      </c>
      <c r="K32" s="79">
        <v>101.34588099999999</v>
      </c>
      <c r="L32" s="71">
        <f t="shared" si="2"/>
        <v>7551.143336360001</v>
      </c>
      <c r="M32"/>
      <c r="N32" s="12"/>
      <c r="O32" s="16"/>
      <c r="P32" s="16"/>
      <c r="Q32" s="16"/>
      <c r="R32" s="16"/>
      <c r="S32" s="16"/>
      <c r="T32" s="16"/>
      <c r="U32" s="16"/>
      <c r="V32" s="16"/>
      <c r="W32" s="16"/>
      <c r="X32" s="16"/>
    </row>
    <row r="33" spans="1:24" s="5" customFormat="1" ht="14.25" customHeight="1">
      <c r="A33" s="47" t="s">
        <v>5</v>
      </c>
      <c r="B33" s="79">
        <v>226.75783497999998</v>
      </c>
      <c r="C33" s="79">
        <v>113.90250900000001</v>
      </c>
      <c r="D33" s="79">
        <v>961.91</v>
      </c>
      <c r="E33" s="79">
        <v>1582.4371901600016</v>
      </c>
      <c r="F33" s="79"/>
      <c r="G33" s="79">
        <v>1668.771839</v>
      </c>
      <c r="H33" s="79">
        <v>656.919314</v>
      </c>
      <c r="I33" s="79">
        <v>17.240038000000002</v>
      </c>
      <c r="J33" s="79">
        <v>1108.5812629000002</v>
      </c>
      <c r="K33" s="79">
        <v>34.970399</v>
      </c>
      <c r="L33" s="71">
        <f t="shared" si="2"/>
        <v>6371.490387040001</v>
      </c>
      <c r="M33" s="2"/>
      <c r="N33" s="12"/>
      <c r="O33" s="16"/>
      <c r="P33" s="16"/>
      <c r="Q33" s="16"/>
      <c r="R33" s="16"/>
      <c r="S33" s="16"/>
      <c r="T33" s="16"/>
      <c r="U33" s="16"/>
      <c r="V33" s="16"/>
      <c r="W33" s="16"/>
      <c r="X33" s="16"/>
    </row>
    <row r="34" spans="1:24" s="5" customFormat="1" ht="14.25" customHeight="1">
      <c r="A34" s="43" t="s">
        <v>7</v>
      </c>
      <c r="B34" s="79">
        <v>8.58447183</v>
      </c>
      <c r="C34" s="79">
        <v>3.3026709999999997</v>
      </c>
      <c r="D34" s="79">
        <v>68.498</v>
      </c>
      <c r="E34" s="79">
        <v>4.67282204</v>
      </c>
      <c r="F34" s="79">
        <v>21.8778854</v>
      </c>
      <c r="G34" s="79">
        <v>10.5</v>
      </c>
      <c r="H34" s="79">
        <v>13.54098</v>
      </c>
      <c r="I34" s="79">
        <v>0.6144980000000001</v>
      </c>
      <c r="J34" s="79">
        <v>1.1114604</v>
      </c>
      <c r="K34" s="79">
        <v>0.990495</v>
      </c>
      <c r="L34" s="71">
        <f t="shared" si="2"/>
        <v>133.69328367</v>
      </c>
      <c r="M34" s="2"/>
      <c r="N34" s="12"/>
      <c r="O34" s="16"/>
      <c r="P34" s="16"/>
      <c r="Q34" s="16"/>
      <c r="R34" s="16"/>
      <c r="S34" s="16"/>
      <c r="T34" s="16"/>
      <c r="U34" s="16"/>
      <c r="V34" s="16"/>
      <c r="W34" s="16"/>
      <c r="X34" s="16"/>
    </row>
    <row r="35" spans="1:24" s="5" customFormat="1" ht="14.25" customHeight="1">
      <c r="A35" s="43" t="s">
        <v>16</v>
      </c>
      <c r="B35" s="79">
        <v>171.01847845</v>
      </c>
      <c r="C35" s="79">
        <v>24.322571</v>
      </c>
      <c r="D35" s="79">
        <v>110.64</v>
      </c>
      <c r="E35" s="79">
        <v>1602.4877330600002</v>
      </c>
      <c r="F35" s="79">
        <v>813.95733968</v>
      </c>
      <c r="G35" s="79"/>
      <c r="H35" s="79">
        <v>80.072918</v>
      </c>
      <c r="I35" s="79">
        <v>2.5540920000000003</v>
      </c>
      <c r="J35" s="79">
        <v>1593.2432411</v>
      </c>
      <c r="K35" s="79">
        <v>14.613135</v>
      </c>
      <c r="L35" s="71">
        <f t="shared" si="2"/>
        <v>4412.909508289999</v>
      </c>
      <c r="M35"/>
      <c r="N35" s="12"/>
      <c r="O35" s="16"/>
      <c r="P35" s="16"/>
      <c r="Q35" s="16"/>
      <c r="R35" s="16"/>
      <c r="S35" s="16"/>
      <c r="T35" s="16"/>
      <c r="U35" s="16"/>
      <c r="V35" s="16"/>
      <c r="W35" s="16"/>
      <c r="X35" s="16"/>
    </row>
    <row r="36" spans="1:24" s="5" customFormat="1" ht="14.25" customHeight="1">
      <c r="A36" s="43" t="s">
        <v>8</v>
      </c>
      <c r="B36" s="79">
        <v>1615.55956187</v>
      </c>
      <c r="C36" s="79">
        <v>160.014907</v>
      </c>
      <c r="D36" s="79">
        <v>4625.568</v>
      </c>
      <c r="E36" s="79">
        <v>1846.1625091299948</v>
      </c>
      <c r="F36" s="79">
        <v>5064.84127213</v>
      </c>
      <c r="G36" s="79">
        <v>685.177652</v>
      </c>
      <c r="H36" s="79"/>
      <c r="I36" s="79">
        <v>127.012099</v>
      </c>
      <c r="J36" s="79">
        <v>1249.7656738</v>
      </c>
      <c r="K36" s="79">
        <v>221.08045199999998</v>
      </c>
      <c r="L36" s="71">
        <f t="shared" si="2"/>
        <v>15595.182126929994</v>
      </c>
      <c r="M36"/>
      <c r="N36" s="12"/>
      <c r="O36" s="16"/>
      <c r="P36" s="16"/>
      <c r="Q36" s="16"/>
      <c r="R36" s="16"/>
      <c r="S36" s="16"/>
      <c r="T36" s="16"/>
      <c r="U36" s="16"/>
      <c r="V36" s="16"/>
      <c r="W36" s="16"/>
      <c r="X36" s="16"/>
    </row>
    <row r="37" spans="1:24" s="5" customFormat="1" ht="14.25" customHeight="1">
      <c r="A37" s="80" t="s">
        <v>64</v>
      </c>
      <c r="B37" s="79">
        <v>0.1854324</v>
      </c>
      <c r="C37" s="79">
        <v>2.993306</v>
      </c>
      <c r="D37" s="79">
        <v>10.913</v>
      </c>
      <c r="E37" s="79">
        <v>29.81561392999999</v>
      </c>
      <c r="F37" s="79">
        <v>57.9861893</v>
      </c>
      <c r="G37" s="79">
        <v>1165.93</v>
      </c>
      <c r="H37" s="79">
        <v>48.546923</v>
      </c>
      <c r="I37" s="79">
        <v>5.371154000000001</v>
      </c>
      <c r="J37" s="79">
        <v>9.6178717</v>
      </c>
      <c r="K37" s="79">
        <v>2.045032</v>
      </c>
      <c r="L37" s="71">
        <f t="shared" si="2"/>
        <v>1333.4045223300002</v>
      </c>
      <c r="M37"/>
      <c r="N37" s="12"/>
      <c r="O37" s="16"/>
      <c r="P37" s="16"/>
      <c r="Q37" s="16"/>
      <c r="R37" s="16"/>
      <c r="S37" s="16"/>
      <c r="T37" s="16"/>
      <c r="U37" s="16"/>
      <c r="V37" s="16"/>
      <c r="W37" s="16"/>
      <c r="X37" s="16"/>
    </row>
    <row r="38" spans="1:24" s="5" customFormat="1" ht="14.25" customHeight="1">
      <c r="A38" s="43" t="s">
        <v>9</v>
      </c>
      <c r="B38" s="79">
        <v>347.65977482000005</v>
      </c>
      <c r="C38" s="79">
        <v>54.575034</v>
      </c>
      <c r="D38" s="79">
        <v>637.5</v>
      </c>
      <c r="E38" s="79">
        <v>100.65261656999998</v>
      </c>
      <c r="F38" s="79">
        <v>58.74905338000001</v>
      </c>
      <c r="G38" s="79">
        <v>9.58</v>
      </c>
      <c r="H38" s="79">
        <v>110.022148</v>
      </c>
      <c r="I38" s="79"/>
      <c r="J38" s="79">
        <v>131.8837659</v>
      </c>
      <c r="K38" s="79">
        <v>56.003659</v>
      </c>
      <c r="L38" s="71">
        <f t="shared" si="2"/>
        <v>1506.6260516700002</v>
      </c>
      <c r="M38" s="2"/>
      <c r="N38" s="12"/>
      <c r="O38" s="16"/>
      <c r="P38" s="16"/>
      <c r="Q38" s="16"/>
      <c r="R38" s="16"/>
      <c r="S38" s="16"/>
      <c r="T38" s="16"/>
      <c r="U38" s="16"/>
      <c r="V38" s="16"/>
      <c r="W38" s="16"/>
      <c r="X38" s="16"/>
    </row>
    <row r="39" spans="1:24" s="5" customFormat="1" ht="14.25" customHeight="1">
      <c r="A39" s="43" t="s">
        <v>10</v>
      </c>
      <c r="B39" s="79">
        <v>115.96163734999999</v>
      </c>
      <c r="C39" s="79">
        <v>410.752431</v>
      </c>
      <c r="D39" s="79">
        <v>873.396</v>
      </c>
      <c r="E39" s="79">
        <v>1571.3738641400062</v>
      </c>
      <c r="F39" s="79">
        <v>687.85462561</v>
      </c>
      <c r="G39" s="79">
        <v>839.158459</v>
      </c>
      <c r="H39" s="79">
        <v>306.265815</v>
      </c>
      <c r="I39" s="79">
        <v>7.728778</v>
      </c>
      <c r="J39" s="79"/>
      <c r="K39" s="79">
        <v>16.844461</v>
      </c>
      <c r="L39" s="71">
        <f t="shared" si="2"/>
        <v>4829.336071100005</v>
      </c>
      <c r="M39"/>
      <c r="N39" s="12"/>
      <c r="O39" s="16"/>
      <c r="P39" s="16"/>
      <c r="Q39" s="16"/>
      <c r="R39" s="16"/>
      <c r="S39" s="16"/>
      <c r="T39" s="16"/>
      <c r="U39" s="16"/>
      <c r="V39" s="16"/>
      <c r="W39" s="16"/>
      <c r="X39" s="16"/>
    </row>
    <row r="40" spans="1:24" s="5" customFormat="1" ht="14.25" customHeight="1">
      <c r="A40" s="43" t="s">
        <v>11</v>
      </c>
      <c r="B40" s="79">
        <v>414.59523915</v>
      </c>
      <c r="C40" s="79">
        <v>28.351347</v>
      </c>
      <c r="D40" s="79">
        <v>1245.303</v>
      </c>
      <c r="E40" s="79">
        <v>182.51366896000002</v>
      </c>
      <c r="F40" s="79">
        <v>63.817059689999994</v>
      </c>
      <c r="G40" s="79">
        <v>65.5</v>
      </c>
      <c r="H40" s="79">
        <v>220.284542</v>
      </c>
      <c r="I40" s="79">
        <v>123.743384</v>
      </c>
      <c r="J40" s="79">
        <v>119.6969162</v>
      </c>
      <c r="K40" s="79"/>
      <c r="L40" s="71">
        <f t="shared" si="2"/>
        <v>2463.805157</v>
      </c>
      <c r="M40"/>
      <c r="N40" s="12"/>
      <c r="O40" s="16"/>
      <c r="P40" s="16"/>
      <c r="Q40" s="16"/>
      <c r="R40" s="16"/>
      <c r="S40" s="16"/>
      <c r="T40" s="16"/>
      <c r="U40" s="16"/>
      <c r="V40" s="16"/>
      <c r="W40" s="16"/>
      <c r="X40" s="16"/>
    </row>
    <row r="41" spans="1:24" s="5" customFormat="1" ht="14.25" customHeight="1">
      <c r="A41" s="43" t="s">
        <v>12</v>
      </c>
      <c r="B41" s="79">
        <v>22.082953629999995</v>
      </c>
      <c r="C41" s="79">
        <v>359.240885</v>
      </c>
      <c r="D41" s="79">
        <v>765.335</v>
      </c>
      <c r="E41" s="79">
        <v>149.80711097999998</v>
      </c>
      <c r="F41" s="79">
        <v>409.82874376</v>
      </c>
      <c r="G41" s="79">
        <v>211.58318500000001</v>
      </c>
      <c r="H41" s="79">
        <v>154.739925</v>
      </c>
      <c r="I41" s="79">
        <v>131.854861</v>
      </c>
      <c r="J41" s="79">
        <v>151.0645786</v>
      </c>
      <c r="K41" s="79">
        <v>620.890158</v>
      </c>
      <c r="L41" s="71">
        <f t="shared" si="2"/>
        <v>2976.42740097</v>
      </c>
      <c r="M41" s="16"/>
      <c r="N41" s="12"/>
      <c r="O41" s="16"/>
      <c r="P41" s="16"/>
      <c r="Q41" s="16"/>
      <c r="R41" s="16"/>
      <c r="S41" s="16"/>
      <c r="T41" s="16"/>
      <c r="U41" s="16"/>
      <c r="V41" s="16"/>
      <c r="W41" s="16"/>
      <c r="X41" s="16"/>
    </row>
    <row r="42" spans="1:15" s="7" customFormat="1" ht="15" customHeight="1">
      <c r="A42" s="51" t="s">
        <v>29</v>
      </c>
      <c r="B42" s="65">
        <f aca="true" t="shared" si="3" ref="B42:J42">SUM(B29:B41)</f>
        <v>17834.57373823</v>
      </c>
      <c r="C42" s="65">
        <f t="shared" si="3"/>
        <v>3302.3346309999997</v>
      </c>
      <c r="D42" s="65">
        <f t="shared" si="3"/>
        <v>26378.036</v>
      </c>
      <c r="E42" s="65">
        <f>SUM(E29:E41)</f>
        <v>14712.579225229973</v>
      </c>
      <c r="F42" s="65">
        <f t="shared" si="3"/>
        <v>12054.729680029997</v>
      </c>
      <c r="G42" s="65">
        <f t="shared" si="3"/>
        <v>6298.734330000001</v>
      </c>
      <c r="H42" s="65">
        <f t="shared" si="3"/>
        <v>6825.738553</v>
      </c>
      <c r="I42" s="65">
        <f t="shared" si="3"/>
        <v>3930.9584239999995</v>
      </c>
      <c r="J42" s="65">
        <f t="shared" si="3"/>
        <v>9099.992525300002</v>
      </c>
      <c r="K42" s="65">
        <f>SUM(K29:K41)</f>
        <v>3932.9862610000005</v>
      </c>
      <c r="L42" s="65">
        <f t="shared" si="2"/>
        <v>104370.66336778997</v>
      </c>
      <c r="M42" s="10"/>
      <c r="N42" s="12"/>
      <c r="O42" s="22"/>
    </row>
    <row r="43" spans="1:12" ht="9" customHeight="1">
      <c r="A43" s="35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</row>
    <row r="44" spans="1:15" ht="15">
      <c r="A44" s="61"/>
      <c r="B44" s="61" t="str">
        <f>+Exp!B44</f>
        <v>Crecimiento 2013/2012</v>
      </c>
      <c r="C44" s="61"/>
      <c r="D44" s="62"/>
      <c r="E44" s="62"/>
      <c r="F44" s="62"/>
      <c r="G44" s="62"/>
      <c r="H44" s="62"/>
      <c r="I44" s="62"/>
      <c r="J44" s="62"/>
      <c r="K44" s="62"/>
      <c r="L44" s="62"/>
      <c r="N44" s="28"/>
      <c r="O44" s="28"/>
    </row>
    <row r="45" spans="1:12" ht="9" customHeight="1">
      <c r="A45" s="63"/>
      <c r="B45" s="35"/>
      <c r="C45" s="35"/>
      <c r="D45" s="62"/>
      <c r="E45" s="62"/>
      <c r="F45" s="62"/>
      <c r="G45" s="62"/>
      <c r="H45" s="62"/>
      <c r="I45" s="62"/>
      <c r="J45" s="62"/>
      <c r="K45" s="62"/>
      <c r="L45" s="35"/>
    </row>
    <row r="46" spans="1:13" s="5" customFormat="1" ht="14.25" customHeight="1">
      <c r="A46" s="43" t="s">
        <v>1</v>
      </c>
      <c r="B46" s="66"/>
      <c r="C46" s="66">
        <f aca="true" t="shared" si="4" ref="C46:L46">+(C12/C29-1)*100</f>
        <v>-7.1994301851003195</v>
      </c>
      <c r="D46" s="66">
        <f t="shared" si="4"/>
        <v>9.657515123313164</v>
      </c>
      <c r="E46" s="66">
        <f t="shared" si="4"/>
        <v>-13.241307709268234</v>
      </c>
      <c r="F46" s="66">
        <f t="shared" si="4"/>
        <v>-18.43447289711875</v>
      </c>
      <c r="G46" s="66">
        <f t="shared" si="4"/>
        <v>-23.708815412145114</v>
      </c>
      <c r="H46" s="66">
        <f t="shared" si="4"/>
        <v>20.681343954223273</v>
      </c>
      <c r="I46" s="66">
        <f aca="true" t="shared" si="5" ref="I46:I54">+(I12/I29-1)*100</f>
        <v>-11.49564919496584</v>
      </c>
      <c r="J46" s="66">
        <f t="shared" si="4"/>
        <v>-14.399059943989279</v>
      </c>
      <c r="K46" s="66">
        <f t="shared" si="4"/>
        <v>-5.39142193444031</v>
      </c>
      <c r="L46" s="66">
        <f t="shared" si="4"/>
        <v>-0.7348227070673286</v>
      </c>
      <c r="M46" s="16"/>
    </row>
    <row r="47" spans="1:13" s="5" customFormat="1" ht="14.25" customHeight="1">
      <c r="A47" s="43" t="s">
        <v>2</v>
      </c>
      <c r="B47" s="66">
        <f aca="true" t="shared" si="6" ref="B47:B59">+(B13/B30-1)*100</f>
        <v>71.9321408197818</v>
      </c>
      <c r="C47" s="66"/>
      <c r="D47" s="66">
        <f>+(D13/D30-1)*100</f>
        <v>22.980039992969736</v>
      </c>
      <c r="E47" s="66">
        <f>+(E13/E30-1)*100</f>
        <v>-38.42218379181617</v>
      </c>
      <c r="F47" s="66">
        <f>+(F13/F30-1)*100</f>
        <v>105.98204999807695</v>
      </c>
      <c r="G47" s="66">
        <f>+(G13/G30-1)*100</f>
        <v>253.0508759205504</v>
      </c>
      <c r="H47" s="66">
        <f>+(H13/H30-1)*100</f>
        <v>-31.86183491791672</v>
      </c>
      <c r="I47" s="66">
        <f t="shared" si="5"/>
        <v>10.237684255390045</v>
      </c>
      <c r="J47" s="66">
        <f aca="true" t="shared" si="7" ref="J47:K55">+(J13/J30-1)*100</f>
        <v>32.415724956564816</v>
      </c>
      <c r="K47" s="66">
        <f t="shared" si="7"/>
        <v>97.8459450150552</v>
      </c>
      <c r="L47" s="66">
        <f aca="true" t="shared" si="8" ref="L47:L59">+(L13/L30-1)*100</f>
        <v>36.219480516041735</v>
      </c>
      <c r="M47" s="16"/>
    </row>
    <row r="48" spans="1:14" s="5" customFormat="1" ht="14.25" customHeight="1">
      <c r="A48" s="43" t="s">
        <v>3</v>
      </c>
      <c r="B48" s="66">
        <f t="shared" si="6"/>
        <v>11.127667544375818</v>
      </c>
      <c r="C48" s="66">
        <f aca="true" t="shared" si="9" ref="C48:C59">+(C14/C31-1)*100</f>
        <v>6.313332290953078</v>
      </c>
      <c r="D48" s="66"/>
      <c r="E48" s="66">
        <f>+(E14/E31-1)*100</f>
        <v>-1.2116408036162651</v>
      </c>
      <c r="F48" s="66">
        <f>+(F14/F31-1)*100</f>
        <v>-9.471014887699914</v>
      </c>
      <c r="G48" s="66">
        <f>+(G14/G31-1)*100</f>
        <v>-7.851601529237651</v>
      </c>
      <c r="H48" s="66">
        <f>+(H14/H31-1)*100</f>
        <v>1.0567593273219655</v>
      </c>
      <c r="I48" s="66">
        <f t="shared" si="5"/>
        <v>27.421695779167177</v>
      </c>
      <c r="J48" s="66">
        <f t="shared" si="7"/>
        <v>-10.025540358107365</v>
      </c>
      <c r="K48" s="66">
        <f t="shared" si="7"/>
        <v>-13.360251535083789</v>
      </c>
      <c r="L48" s="66">
        <f t="shared" si="8"/>
        <v>4.695696691938878</v>
      </c>
      <c r="M48" s="16"/>
      <c r="N48" s="16"/>
    </row>
    <row r="49" spans="1:12" s="5" customFormat="1" ht="14.25" customHeight="1">
      <c r="A49" s="43" t="s">
        <v>4</v>
      </c>
      <c r="B49" s="66">
        <f t="shared" si="6"/>
        <v>-1.1071539756183912</v>
      </c>
      <c r="C49" s="66">
        <f t="shared" si="9"/>
        <v>51.13027642163288</v>
      </c>
      <c r="D49" s="66">
        <f aca="true" t="shared" si="10" ref="D49:D59">+(D15/D32-1)*100</f>
        <v>-3.2515564432980426</v>
      </c>
      <c r="E49" s="66"/>
      <c r="F49" s="66">
        <f>+(F15/F32-1)*100</f>
        <v>-6.525085398357944</v>
      </c>
      <c r="G49" s="66">
        <f>+(G15/G32-1)*100</f>
        <v>-1.1747056361436248</v>
      </c>
      <c r="H49" s="66">
        <f>+(H15/H32-1)*100</f>
        <v>-0.8574924349438517</v>
      </c>
      <c r="I49" s="66">
        <f t="shared" si="5"/>
        <v>3.741683351895486</v>
      </c>
      <c r="J49" s="66">
        <f t="shared" si="7"/>
        <v>8.820604047148306</v>
      </c>
      <c r="K49" s="66">
        <f t="shared" si="7"/>
        <v>4.338903521890547</v>
      </c>
      <c r="L49" s="66">
        <f t="shared" si="8"/>
        <v>0.7357923497818497</v>
      </c>
    </row>
    <row r="50" spans="1:14" s="5" customFormat="1" ht="14.25" customHeight="1">
      <c r="A50" s="47" t="s">
        <v>5</v>
      </c>
      <c r="B50" s="66">
        <f t="shared" si="6"/>
        <v>51.71138859671252</v>
      </c>
      <c r="C50" s="66">
        <f t="shared" si="9"/>
        <v>17.111927710038422</v>
      </c>
      <c r="D50" s="66">
        <f t="shared" si="10"/>
        <v>12.967013545965855</v>
      </c>
      <c r="E50" s="66">
        <f aca="true" t="shared" si="11" ref="E50:E59">+(E16/E33-1)*100</f>
        <v>-17.529364440806027</v>
      </c>
      <c r="F50" s="66"/>
      <c r="G50" s="66">
        <f>+(G16/G33-1)*100</f>
        <v>3.7429020876472263</v>
      </c>
      <c r="H50" s="66">
        <f>+(H16/H33-1)*100</f>
        <v>4.645416164457594</v>
      </c>
      <c r="I50" s="66">
        <f t="shared" si="5"/>
        <v>-15.205378317611606</v>
      </c>
      <c r="J50" s="66">
        <f t="shared" si="7"/>
        <v>1.9573418139178234</v>
      </c>
      <c r="K50" s="66">
        <f t="shared" si="7"/>
        <v>-65.42778937123366</v>
      </c>
      <c r="L50" s="66">
        <f t="shared" si="8"/>
        <v>1.1498792003049596</v>
      </c>
      <c r="N50" s="82"/>
    </row>
    <row r="51" spans="1:12" s="5" customFormat="1" ht="14.25" customHeight="1">
      <c r="A51" s="43" t="s">
        <v>7</v>
      </c>
      <c r="B51" s="66">
        <f t="shared" si="6"/>
        <v>9.803504241914451</v>
      </c>
      <c r="C51" s="66">
        <f t="shared" si="9"/>
        <v>-63.22643097056897</v>
      </c>
      <c r="D51" s="66">
        <f t="shared" si="10"/>
        <v>-15.739145668486676</v>
      </c>
      <c r="E51" s="66">
        <f t="shared" si="11"/>
        <v>-19.588928321353315</v>
      </c>
      <c r="F51" s="66">
        <f aca="true" t="shared" si="12" ref="F51:F59">+(F17/F34-1)*100</f>
        <v>35.57072599895783</v>
      </c>
      <c r="G51" s="66">
        <f>+(G17/G34-1)*100</f>
        <v>-18.23809523809523</v>
      </c>
      <c r="H51" s="66">
        <f>+(H17/H34-1)*100</f>
        <v>-22.519381905888636</v>
      </c>
      <c r="I51" s="66">
        <f t="shared" si="5"/>
        <v>-11.50093246845394</v>
      </c>
      <c r="J51" s="66">
        <f t="shared" si="7"/>
        <v>44.636435090265024</v>
      </c>
      <c r="K51" s="66">
        <f t="shared" si="7"/>
        <v>-30.535742229895156</v>
      </c>
      <c r="L51" s="66">
        <f t="shared" si="8"/>
        <v>-7.481431718506315</v>
      </c>
    </row>
    <row r="52" spans="1:12" s="5" customFormat="1" ht="14.25" customHeight="1">
      <c r="A52" s="43" t="s">
        <v>16</v>
      </c>
      <c r="B52" s="66">
        <f t="shared" si="6"/>
        <v>8.08548170076413</v>
      </c>
      <c r="C52" s="66">
        <f t="shared" si="9"/>
        <v>4.825008014160992</v>
      </c>
      <c r="D52" s="66">
        <f t="shared" si="10"/>
        <v>-5.309110629067238</v>
      </c>
      <c r="E52" s="66">
        <f t="shared" si="11"/>
        <v>21.806187374223065</v>
      </c>
      <c r="F52" s="66">
        <f t="shared" si="12"/>
        <v>-20.839321610722983</v>
      </c>
      <c r="G52" s="66"/>
      <c r="H52" s="66">
        <f>+(H18/H35-1)*100</f>
        <v>-4.7727185363720555</v>
      </c>
      <c r="I52" s="66">
        <f t="shared" si="5"/>
        <v>14.656637270701278</v>
      </c>
      <c r="J52" s="66">
        <f t="shared" si="7"/>
        <v>-1.8805158011725998</v>
      </c>
      <c r="K52" s="66">
        <f t="shared" si="7"/>
        <v>23.36702562454942</v>
      </c>
      <c r="L52" s="66">
        <f t="shared" si="8"/>
        <v>3.6019700044019</v>
      </c>
    </row>
    <row r="53" spans="1:12" s="5" customFormat="1" ht="14.25" customHeight="1">
      <c r="A53" s="43" t="s">
        <v>8</v>
      </c>
      <c r="B53" s="66">
        <f t="shared" si="6"/>
        <v>-3.5816567464107107</v>
      </c>
      <c r="C53" s="66">
        <f t="shared" si="9"/>
        <v>28.79169688859051</v>
      </c>
      <c r="D53" s="66">
        <f t="shared" si="10"/>
        <v>-7.693865920898801</v>
      </c>
      <c r="E53" s="66">
        <f t="shared" si="11"/>
        <v>-0.4762804231216111</v>
      </c>
      <c r="F53" s="66">
        <f t="shared" si="12"/>
        <v>-18.670603856501835</v>
      </c>
      <c r="G53" s="66">
        <f aca="true" t="shared" si="13" ref="G53:H59">+(G19/G36-1)*100</f>
        <v>7.744413561229235</v>
      </c>
      <c r="H53" s="66"/>
      <c r="I53" s="66">
        <f t="shared" si="5"/>
        <v>-1.6677915070122618</v>
      </c>
      <c r="J53" s="66">
        <f t="shared" si="7"/>
        <v>10.386945530780656</v>
      </c>
      <c r="K53" s="66">
        <f t="shared" si="7"/>
        <v>-4.2201193798898196</v>
      </c>
      <c r="L53" s="66">
        <f t="shared" si="8"/>
        <v>-7.378431539718844</v>
      </c>
    </row>
    <row r="54" spans="1:12" s="5" customFormat="1" ht="14.25" customHeight="1">
      <c r="A54" s="80" t="s">
        <v>64</v>
      </c>
      <c r="B54" s="66">
        <f t="shared" si="6"/>
        <v>1025.3908702039125</v>
      </c>
      <c r="C54" s="66">
        <f t="shared" si="9"/>
        <v>-7.233507032024134</v>
      </c>
      <c r="D54" s="66">
        <f t="shared" si="10"/>
        <v>-28.25987354531293</v>
      </c>
      <c r="E54" s="66">
        <f t="shared" si="11"/>
        <v>-42.509712091647</v>
      </c>
      <c r="F54" s="66">
        <f t="shared" si="12"/>
        <v>-19.84284545837538</v>
      </c>
      <c r="G54" s="66">
        <f t="shared" si="13"/>
        <v>16.2900791642723</v>
      </c>
      <c r="H54" s="66">
        <f t="shared" si="13"/>
        <v>-72.12488626725117</v>
      </c>
      <c r="I54" s="66">
        <f t="shared" si="5"/>
        <v>23.165636285982472</v>
      </c>
      <c r="J54" s="66">
        <f t="shared" si="7"/>
        <v>503.1898377267811</v>
      </c>
      <c r="K54" s="66">
        <f t="shared" si="7"/>
        <v>-15.672566492847062</v>
      </c>
      <c r="L54" s="66">
        <f t="shared" si="8"/>
        <v>13.398533928609613</v>
      </c>
    </row>
    <row r="55" spans="1:12" s="5" customFormat="1" ht="14.25" customHeight="1">
      <c r="A55" s="43" t="s">
        <v>9</v>
      </c>
      <c r="B55" s="66">
        <f t="shared" si="6"/>
        <v>19.49456767182518</v>
      </c>
      <c r="C55" s="66">
        <f t="shared" si="9"/>
        <v>1.6526915952081778</v>
      </c>
      <c r="D55" s="66">
        <f t="shared" si="10"/>
        <v>23.204078431372555</v>
      </c>
      <c r="E55" s="66">
        <f t="shared" si="11"/>
        <v>229.3666232009413</v>
      </c>
      <c r="F55" s="66">
        <f t="shared" si="12"/>
        <v>21.475818713864015</v>
      </c>
      <c r="G55" s="66">
        <f t="shared" si="13"/>
        <v>31.43006263048016</v>
      </c>
      <c r="H55" s="66">
        <f>+(H21/H38-1)*100</f>
        <v>180.48322779518907</v>
      </c>
      <c r="I55" s="66"/>
      <c r="J55" s="66">
        <f t="shared" si="7"/>
        <v>32.6480600596802</v>
      </c>
      <c r="K55" s="66">
        <f t="shared" si="7"/>
        <v>55.78698170417758</v>
      </c>
      <c r="L55" s="66">
        <f t="shared" si="8"/>
        <v>48.84860714735606</v>
      </c>
    </row>
    <row r="56" spans="1:12" s="5" customFormat="1" ht="14.25" customHeight="1">
      <c r="A56" s="43" t="s">
        <v>10</v>
      </c>
      <c r="B56" s="66">
        <f t="shared" si="6"/>
        <v>-11.90011508577583</v>
      </c>
      <c r="C56" s="66">
        <f t="shared" si="9"/>
        <v>-0.23148785697632013</v>
      </c>
      <c r="D56" s="66">
        <f t="shared" si="10"/>
        <v>50.20964144557567</v>
      </c>
      <c r="E56" s="66">
        <f t="shared" si="11"/>
        <v>-17.641463857598627</v>
      </c>
      <c r="F56" s="66">
        <f t="shared" si="12"/>
        <v>-11.621308518367524</v>
      </c>
      <c r="G56" s="66">
        <f t="shared" si="13"/>
        <v>3.1783798058573787</v>
      </c>
      <c r="H56" s="66">
        <f>+(H22/H39-1)*100</f>
        <v>43.028318064162654</v>
      </c>
      <c r="I56" s="66">
        <f>+(I22/I39-1)*100</f>
        <v>-4.261126403164905</v>
      </c>
      <c r="J56" s="66"/>
      <c r="K56" s="66">
        <f>+(K22/K39-1)*100</f>
        <v>22.94418919073753</v>
      </c>
      <c r="L56" s="66">
        <f t="shared" si="8"/>
        <v>4.733894883772649</v>
      </c>
    </row>
    <row r="57" spans="1:12" s="5" customFormat="1" ht="14.25" customHeight="1">
      <c r="A57" s="43" t="s">
        <v>11</v>
      </c>
      <c r="B57" s="66">
        <f t="shared" si="6"/>
        <v>0.8828995980524557</v>
      </c>
      <c r="C57" s="66">
        <f t="shared" si="9"/>
        <v>-20.091013665065006</v>
      </c>
      <c r="D57" s="66">
        <f t="shared" si="10"/>
        <v>-0.582830042166449</v>
      </c>
      <c r="E57" s="66">
        <f t="shared" si="11"/>
        <v>-23.217495572502646</v>
      </c>
      <c r="F57" s="66">
        <f t="shared" si="12"/>
        <v>-22.666488929866258</v>
      </c>
      <c r="G57" s="66">
        <f t="shared" si="13"/>
        <v>-27.039694656488543</v>
      </c>
      <c r="H57" s="66">
        <f>+(H23/H40-1)*100</f>
        <v>-3.9589318981810284</v>
      </c>
      <c r="I57" s="66">
        <f>+(I23/I40-1)*100</f>
        <v>-11.456029035055327</v>
      </c>
      <c r="J57" s="66">
        <f>+(J23/J40-1)*100</f>
        <v>5.318377951661879</v>
      </c>
      <c r="K57" s="66"/>
      <c r="L57" s="66">
        <f t="shared" si="8"/>
        <v>-4.07401784166328</v>
      </c>
    </row>
    <row r="58" spans="1:12" s="5" customFormat="1" ht="14.25" customHeight="1">
      <c r="A58" s="43" t="s">
        <v>12</v>
      </c>
      <c r="B58" s="66">
        <f t="shared" si="6"/>
        <v>83.3936160830493</v>
      </c>
      <c r="C58" s="66">
        <f t="shared" si="9"/>
        <v>-96.88767914041854</v>
      </c>
      <c r="D58" s="66">
        <f t="shared" si="10"/>
        <v>12.00219511717091</v>
      </c>
      <c r="E58" s="66">
        <f t="shared" si="11"/>
        <v>-24.86691816316614</v>
      </c>
      <c r="F58" s="66">
        <f t="shared" si="12"/>
        <v>-22.81077923727719</v>
      </c>
      <c r="G58" s="66">
        <f t="shared" si="13"/>
        <v>-78.81456647890049</v>
      </c>
      <c r="H58" s="66">
        <f>+(H24/H41-1)*100</f>
        <v>-49.69264008626087</v>
      </c>
      <c r="I58" s="66">
        <f>+(I24/I41-1)*100</f>
        <v>-99.90005146643777</v>
      </c>
      <c r="J58" s="66">
        <f>+(J24/J41-1)*100</f>
        <v>-49.020326198427554</v>
      </c>
      <c r="K58" s="66">
        <f>+(K24/K41-1)*100</f>
        <v>-20.857927337285965</v>
      </c>
      <c r="L58" s="66">
        <f t="shared" si="8"/>
        <v>-31.832051035453745</v>
      </c>
    </row>
    <row r="59" spans="1:12" s="7" customFormat="1" ht="15" customHeight="1">
      <c r="A59" s="51" t="s">
        <v>29</v>
      </c>
      <c r="B59" s="67">
        <f t="shared" si="6"/>
        <v>12.845310849954528</v>
      </c>
      <c r="C59" s="67">
        <f t="shared" si="9"/>
        <v>-4.338050924797365</v>
      </c>
      <c r="D59" s="67">
        <f t="shared" si="10"/>
        <v>7.565733855242285</v>
      </c>
      <c r="E59" s="67">
        <f t="shared" si="11"/>
        <v>-4.6986654481662065</v>
      </c>
      <c r="F59" s="67">
        <f t="shared" si="12"/>
        <v>-14.10592952380304</v>
      </c>
      <c r="G59" s="67">
        <f t="shared" si="13"/>
        <v>0.657345521032604</v>
      </c>
      <c r="H59" s="67">
        <f>+(H25/H42-1)*100</f>
        <v>5.828324142669494</v>
      </c>
      <c r="I59" s="67">
        <f>+(I25/I42-1)*100</f>
        <v>5.536581452279465</v>
      </c>
      <c r="J59" s="67">
        <f>+(J25/J42-1)*100</f>
        <v>-0.8936273581974574</v>
      </c>
      <c r="K59" s="67">
        <f>+(K25/K42-1)*100</f>
        <v>-10.004557552152626</v>
      </c>
      <c r="L59" s="67">
        <f t="shared" si="8"/>
        <v>1.8527125340632722</v>
      </c>
    </row>
    <row r="60" spans="1:12" ht="9" customHeight="1" thickBot="1">
      <c r="A60" s="59"/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</row>
    <row r="61" spans="1:12" ht="2.25" customHeight="1">
      <c r="A61" s="69"/>
      <c r="B61" s="70"/>
      <c r="C61" s="70"/>
      <c r="D61" s="70"/>
      <c r="E61" s="70"/>
      <c r="F61" s="70"/>
      <c r="G61" s="70"/>
      <c r="H61" s="70"/>
      <c r="I61" s="70"/>
      <c r="J61" s="70"/>
      <c r="K61" s="70"/>
      <c r="L61" s="70"/>
    </row>
    <row r="62" spans="1:12" s="12" customFormat="1" ht="12">
      <c r="A62" s="56" t="s">
        <v>42</v>
      </c>
      <c r="B62" s="57"/>
      <c r="C62" s="57"/>
      <c r="D62" s="57"/>
      <c r="E62" s="57"/>
      <c r="F62" s="57"/>
      <c r="G62" s="57"/>
      <c r="H62" s="57"/>
      <c r="I62" s="57"/>
      <c r="J62" s="57"/>
      <c r="K62" s="57"/>
      <c r="L62" s="57"/>
    </row>
    <row r="63" spans="1:12" s="12" customFormat="1" ht="12">
      <c r="A63" s="56" t="s">
        <v>67</v>
      </c>
      <c r="B63" s="57"/>
      <c r="C63" s="57"/>
      <c r="D63" s="57"/>
      <c r="E63" s="57"/>
      <c r="F63" s="57"/>
      <c r="G63" s="57"/>
      <c r="H63" s="57"/>
      <c r="I63" s="57"/>
      <c r="J63" s="57"/>
      <c r="K63" s="57"/>
      <c r="L63" s="57"/>
    </row>
  </sheetData>
  <sheetProtection/>
  <mergeCells count="1">
    <mergeCell ref="A7:A8"/>
  </mergeCells>
  <printOptions/>
  <pageMargins left="0.7874015748031497" right="0.7874015748031497" top="0.7874015748031497" bottom="0.7874015748031497" header="0" footer="0"/>
  <pageSetup fitToHeight="2" fitToWidth="1" horizontalDpi="600" verticalDpi="600" orientation="portrait" paperSize="9" scale="5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3"/>
  <sheetViews>
    <sheetView zoomScale="75" zoomScaleNormal="7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9" sqref="A9"/>
      <selection pane="bottomRight" activeCell="R68" sqref="R68"/>
    </sheetView>
  </sheetViews>
  <sheetFormatPr defaultColWidth="11.421875" defaultRowHeight="12.75"/>
  <cols>
    <col min="1" max="1" width="11.8515625" style="0" customWidth="1"/>
    <col min="2" max="15" width="8.7109375" style="0" customWidth="1"/>
    <col min="16" max="16" width="12.8515625" style="0" bestFit="1" customWidth="1"/>
  </cols>
  <sheetData>
    <row r="1" spans="1:15" ht="15">
      <c r="A1" s="34" t="s">
        <v>60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spans="1:15" ht="12.75">
      <c r="A2" s="36" t="s">
        <v>71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</row>
    <row r="3" spans="1:15" ht="12.75">
      <c r="A3" s="37" t="str">
        <f>+Exp!A4</f>
        <v>Enero-setiembre 2012-2013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</row>
    <row r="4" spans="1:15" ht="12.75">
      <c r="A4" s="37" t="s">
        <v>56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</row>
    <row r="5" spans="1:15" ht="7.5" customHeight="1" thickBot="1">
      <c r="A5" s="38"/>
      <c r="B5" s="38"/>
      <c r="C5" s="38"/>
      <c r="D5" s="38"/>
      <c r="E5" s="38"/>
      <c r="F5" s="38"/>
      <c r="G5" s="38"/>
      <c r="H5" s="38"/>
      <c r="I5" s="38"/>
      <c r="J5" s="59"/>
      <c r="K5" s="38"/>
      <c r="L5" s="38"/>
      <c r="M5" s="38"/>
      <c r="N5" s="38"/>
      <c r="O5" s="38"/>
    </row>
    <row r="6" spans="1:15" ht="15" customHeight="1" thickBot="1">
      <c r="A6" s="90" t="s">
        <v>44</v>
      </c>
      <c r="B6" s="88" t="s">
        <v>45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</row>
    <row r="7" spans="1:15" ht="15" customHeight="1" thickBot="1">
      <c r="A7" s="93" t="s">
        <v>46</v>
      </c>
      <c r="B7" s="91" t="s">
        <v>30</v>
      </c>
      <c r="C7" s="88" t="s">
        <v>31</v>
      </c>
      <c r="D7" s="91" t="s">
        <v>32</v>
      </c>
      <c r="E7" s="92" t="s">
        <v>33</v>
      </c>
      <c r="F7" s="88" t="s">
        <v>40</v>
      </c>
      <c r="G7" s="88" t="s">
        <v>51</v>
      </c>
      <c r="H7" s="88" t="s">
        <v>34</v>
      </c>
      <c r="I7" s="89" t="s">
        <v>35</v>
      </c>
      <c r="J7" s="88" t="s">
        <v>65</v>
      </c>
      <c r="K7" s="91" t="s">
        <v>66</v>
      </c>
      <c r="L7" s="88" t="s">
        <v>37</v>
      </c>
      <c r="M7" s="91" t="s">
        <v>38</v>
      </c>
      <c r="N7" s="88" t="s">
        <v>52</v>
      </c>
      <c r="O7" s="88" t="s">
        <v>18</v>
      </c>
    </row>
    <row r="8" spans="1:15" s="20" customFormat="1" ht="9.75" customHeight="1">
      <c r="A8" s="39"/>
      <c r="B8" s="40"/>
      <c r="C8" s="40"/>
      <c r="D8" s="39"/>
      <c r="E8" s="40"/>
      <c r="F8" s="40"/>
      <c r="G8" s="40"/>
      <c r="H8" s="40"/>
      <c r="I8" s="40"/>
      <c r="J8" s="40"/>
      <c r="K8" s="40"/>
      <c r="L8" s="40"/>
      <c r="M8" s="40"/>
      <c r="N8" s="40"/>
      <c r="O8" s="41"/>
    </row>
    <row r="9" spans="1:15" s="20" customFormat="1" ht="12.75">
      <c r="A9" s="39"/>
      <c r="B9" s="42" t="str">
        <f>+RIGHT(A3,4)</f>
        <v>2013</v>
      </c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1"/>
    </row>
    <row r="10" spans="1:16" s="1" customFormat="1" ht="14.25">
      <c r="A10" s="43" t="s">
        <v>1</v>
      </c>
      <c r="B10" s="44" t="s">
        <v>43</v>
      </c>
      <c r="C10" s="45">
        <f>(Exp!C12+Imp!B13)/($P$24)*100</f>
        <v>1.4031927521151284</v>
      </c>
      <c r="D10" s="45">
        <f>(Exp!D12+Imp!B14)/($P$24)*100</f>
        <v>12.097256547132364</v>
      </c>
      <c r="E10" s="45">
        <f>(Exp!E12+Imp!B15)/($P$24)*100</f>
        <v>0.6455856499432233</v>
      </c>
      <c r="F10" s="45">
        <f>(Exp!F12+Imp!B16)/($P$24)*100</f>
        <v>0.28751293881032275</v>
      </c>
      <c r="G10" s="45">
        <f>(Imp!B17*2)/($P$24)*100</f>
        <v>0.007695909202614499</v>
      </c>
      <c r="H10" s="45">
        <f>(Exp!G12+Imp!B18)/($P$24)*100</f>
        <v>0.1099643318842793</v>
      </c>
      <c r="I10" s="45">
        <f>(Exp!H12+Imp!B19)/($P$24)*100</f>
        <v>1.2287606157385271</v>
      </c>
      <c r="J10" s="45">
        <f>(Imp!B20*2)/($P$24)*100</f>
        <v>0.0017038021500908314</v>
      </c>
      <c r="K10" s="45">
        <f>(Exp!I12+Imp!B21)/($P$24)*100</f>
        <v>0.46054046008116883</v>
      </c>
      <c r="L10" s="45">
        <f>(Exp!J12+Imp!B22)/($P$24)*100</f>
        <v>0.0926481936465618</v>
      </c>
      <c r="M10" s="45">
        <f>(Exp!K12+Imp!B23)/($P$24)*100</f>
        <v>0.32344981014456015</v>
      </c>
      <c r="N10" s="45">
        <f>+(Imp!B24*2)/($P$24)*100</f>
        <v>0.033065228587223765</v>
      </c>
      <c r="O10" s="46">
        <f aca="true" t="shared" si="0" ref="O10:O22">SUM(B10:N10)</f>
        <v>16.69137623943606</v>
      </c>
      <c r="P10" s="31"/>
    </row>
    <row r="11" spans="1:16" s="1" customFormat="1" ht="14.25">
      <c r="A11" s="43" t="s">
        <v>2</v>
      </c>
      <c r="B11" s="45">
        <f>(Exp!B13+Imp!C12)/($P$24)*100</f>
        <v>0.5504859523027964</v>
      </c>
      <c r="C11" s="44" t="s">
        <v>43</v>
      </c>
      <c r="D11" s="45">
        <f>(Exp!D13+Imp!C14)/($P$24)*100</f>
        <v>0.9262142158368751</v>
      </c>
      <c r="E11" s="45">
        <f>(Exp!E13+Imp!C15)/($P$24)*100</f>
        <v>0.31845533709634966</v>
      </c>
      <c r="F11" s="45">
        <f>(Exp!F13+Imp!C16)/($P$24)*100</f>
        <v>0.09702575417861456</v>
      </c>
      <c r="G11" s="45">
        <f>(Imp!C17*2)/($P$24)*100</f>
        <v>0.0009915879719664164</v>
      </c>
      <c r="H11" s="45">
        <f>(Exp!G13+Imp!C18)/($P$24)*100</f>
        <v>0.016889178391152664</v>
      </c>
      <c r="I11" s="45">
        <f>(Exp!H13+Imp!C19)/($P$24)*100</f>
        <v>0.1433775169582495</v>
      </c>
      <c r="J11" s="45">
        <f>(+Imp!C20*2)/($P$24)*100</f>
        <v>0.0022671090454065962</v>
      </c>
      <c r="K11" s="45">
        <f>(Exp!I13+Imp!C21)/($P$24)*100</f>
        <v>0.045439231628702094</v>
      </c>
      <c r="L11" s="45">
        <f>(Exp!J13+Imp!C22)/($P$24)*100</f>
        <v>0.3327546190921121</v>
      </c>
      <c r="M11" s="45">
        <f>(Exp!K13+Imp!C23)/($P$24)*100</f>
        <v>0.01635567538847365</v>
      </c>
      <c r="N11" s="45">
        <f>+(Imp!C24*2)/($P$24)*100</f>
        <v>0.009128517998382967</v>
      </c>
      <c r="O11" s="46">
        <f t="shared" si="0"/>
        <v>2.459384695889082</v>
      </c>
      <c r="P11" s="31"/>
    </row>
    <row r="12" spans="1:16" s="1" customFormat="1" ht="14.25">
      <c r="A12" s="43" t="s">
        <v>3</v>
      </c>
      <c r="B12" s="45">
        <f>(Exp!B14+Imp!D12)/($P$24)*100</f>
        <v>10.537053762374935</v>
      </c>
      <c r="C12" s="45">
        <f>(Exp!C14+Imp!D13)/($P$24)*100</f>
        <v>2.4424368250155233</v>
      </c>
      <c r="D12" s="44" t="s">
        <v>43</v>
      </c>
      <c r="E12" s="45">
        <f>(Exp!E14+Imp!D15)/($P$24)*100</f>
        <v>2.5518684582769504</v>
      </c>
      <c r="F12" s="45">
        <f>(Exp!F14+Imp!D16)/($P$24)*100</f>
        <v>0.8946169980776008</v>
      </c>
      <c r="G12" s="45">
        <f>(Imp!D17*2)/($P$24)*100</f>
        <v>0.04712310559648389</v>
      </c>
      <c r="H12" s="45">
        <f>(Exp!G14+Imp!D18)/($P$24)*100</f>
        <v>0.08138565541171837</v>
      </c>
      <c r="I12" s="45">
        <f>(Exp!H14+Imp!D19)/($P$24)*100</f>
        <v>3.441583293279361</v>
      </c>
      <c r="J12" s="45">
        <f>(+Imp!D20*2)/($P$24)*100</f>
        <v>0.006391995317062085</v>
      </c>
      <c r="K12" s="45">
        <f>(Exp!I14+Imp!D21)/($P$24)*100</f>
        <v>1.194936170771737</v>
      </c>
      <c r="L12" s="45">
        <f>(Exp!J14+Imp!D22)/($P$24)*100</f>
        <v>1.0732798892729574</v>
      </c>
      <c r="M12" s="45">
        <f>(Exp!K14+Imp!D23)/($P$24)*100</f>
        <v>1.0111691213458942</v>
      </c>
      <c r="N12" s="45">
        <f>+(Imp!D24*2)/($P$24)*100</f>
        <v>0.6998553135551262</v>
      </c>
      <c r="O12" s="46">
        <f t="shared" si="0"/>
        <v>23.98170058829535</v>
      </c>
      <c r="P12" s="31"/>
    </row>
    <row r="13" spans="1:15" s="1" customFormat="1" ht="14.25">
      <c r="A13" s="43" t="s">
        <v>4</v>
      </c>
      <c r="B13" s="45">
        <f>(Exp!B15+Imp!E12)/($P$24)*100</f>
        <v>2.6180400174386604</v>
      </c>
      <c r="C13" s="45">
        <f>(Exp!C15+Imp!E13)/($P$24)*100</f>
        <v>0.0936851887440356</v>
      </c>
      <c r="D13" s="45">
        <f>(Exp!D15+Imp!E14)/($P$24)*100</f>
        <v>2.7995047062833267</v>
      </c>
      <c r="E13" s="44" t="s">
        <v>43</v>
      </c>
      <c r="F13" s="45">
        <f>(Exp!F15+Imp!E16)/($P$24)*100</f>
        <v>1.0277560290223904</v>
      </c>
      <c r="G13" s="45">
        <f>(Imp!E17*2)/($P$24)*100</f>
        <v>0.0030677873120166935</v>
      </c>
      <c r="H13" s="45">
        <f>(Exp!G15+Imp!E18)/($P$24)*100</f>
        <v>1.5297246008694323</v>
      </c>
      <c r="I13" s="45">
        <f>(Exp!H15+Imp!E19)/($P$24)*100</f>
        <v>1.4099876927425812</v>
      </c>
      <c r="J13" s="45">
        <f>(+Imp!E20*2)/($P$24)*100</f>
        <v>0.013994854735861009</v>
      </c>
      <c r="K13" s="45">
        <f>(Exp!I15+Imp!E21)/($P$24)*100</f>
        <v>0.2631690759102537</v>
      </c>
      <c r="L13" s="45">
        <f>(Exp!J15+Imp!E22)/($P$24)*100</f>
        <v>1.0543785973120505</v>
      </c>
      <c r="M13" s="45">
        <f>(Exp!K15+Imp!E23)/($P$24)*100</f>
        <v>0.10375460955938122</v>
      </c>
      <c r="N13" s="45">
        <f>+(Imp!E24*2)/($P$24)*100</f>
        <v>0.09189540308787976</v>
      </c>
      <c r="O13" s="46">
        <f t="shared" si="0"/>
        <v>11.008958563017869</v>
      </c>
    </row>
    <row r="14" spans="1:15" s="1" customFormat="1" ht="14.25">
      <c r="A14" s="47" t="s">
        <v>5</v>
      </c>
      <c r="B14" s="45">
        <f>(Exp!B16+Imp!F12)/($P$24)*100</f>
        <v>1.203528240828482</v>
      </c>
      <c r="C14" s="45">
        <f>(Exp!C16+Imp!F13)/($P$24)*100</f>
        <v>0.34225029849413585</v>
      </c>
      <c r="D14" s="45">
        <f>(Exp!D16+Imp!F14)/($P$24)*100</f>
        <v>1.5877376048003113</v>
      </c>
      <c r="E14" s="45">
        <f>(Exp!E16+Imp!F15)/($P$24)*100</f>
        <v>0.5842263425189201</v>
      </c>
      <c r="F14" s="44" t="s">
        <v>43</v>
      </c>
      <c r="G14" s="45">
        <f>(Imp!F17*2)/($P$24)*100</f>
        <v>0.024215944908348917</v>
      </c>
      <c r="H14" s="45">
        <f>(Exp!G16+Imp!F18)/($P$24)*100</f>
        <v>0.5439961920378626</v>
      </c>
      <c r="I14" s="45">
        <f>(Exp!H16+Imp!F19)/($P$24)*100</f>
        <v>3.1474328690689437</v>
      </c>
      <c r="J14" s="45">
        <f>(+Imp!F20*2)/($P$24)*100</f>
        <v>0.03794870988245166</v>
      </c>
      <c r="K14" s="45">
        <f>(Exp!I16+Imp!F21)/($P$24)*100</f>
        <v>0.037698657801581784</v>
      </c>
      <c r="L14" s="45">
        <f>(Exp!J16+Imp!F22)/($P$24)*100</f>
        <v>0.4836171246057495</v>
      </c>
      <c r="M14" s="45">
        <f>(Exp!K16+Imp!F23)/($P$24)*100</f>
        <v>0.025308609431232795</v>
      </c>
      <c r="N14" s="45">
        <f>+(Imp!F24*2)/($P$24)*100</f>
        <v>0.2582790775067489</v>
      </c>
      <c r="O14" s="46">
        <f t="shared" si="0"/>
        <v>8.27623967188477</v>
      </c>
    </row>
    <row r="15" spans="1:16" s="1" customFormat="1" ht="14.25">
      <c r="A15" s="43" t="s">
        <v>7</v>
      </c>
      <c r="B15" s="45">
        <f>(Exp!B17*2)/($P$24)*100</f>
        <v>0.219430849898992</v>
      </c>
      <c r="C15" s="45">
        <f>(Exp!C17*2)/($P$24)*100</f>
        <v>0.002645412425975791</v>
      </c>
      <c r="D15" s="45">
        <f>(Exp!D17*2)/($P$24)*100</f>
        <v>0.3060719883070062</v>
      </c>
      <c r="E15" s="45">
        <f>(Exp!E17*2)/($P$24)*100</f>
        <v>0.017214706865335643</v>
      </c>
      <c r="F15" s="45">
        <f>(Exp!F17*2)/($P$24)*100</f>
        <v>0.022359111483191686</v>
      </c>
      <c r="G15" s="44" t="s">
        <v>43</v>
      </c>
      <c r="H15" s="45">
        <f>(Exp!G17*2)/($P$24)*100</f>
        <v>0.009075669937982136</v>
      </c>
      <c r="I15" s="45">
        <f>(Exp!H17*2)/($P$24)*100</f>
        <v>0.23421310592135233</v>
      </c>
      <c r="J15" s="48" t="s">
        <v>47</v>
      </c>
      <c r="K15" s="45">
        <f>(Exp!I17*2)/($P$24)*100</f>
        <v>0.0002795985628177052</v>
      </c>
      <c r="L15" s="45">
        <f>(Exp!J17*2)/($P$24)*100</f>
        <v>0.011666559631809164</v>
      </c>
      <c r="M15" s="45">
        <f>(Exp!K17*2)/($P$24)*100</f>
        <v>0.013062328596511482</v>
      </c>
      <c r="N15" s="48" t="s">
        <v>47</v>
      </c>
      <c r="O15" s="46">
        <f t="shared" si="0"/>
        <v>0.8360193316309742</v>
      </c>
      <c r="P15" s="81"/>
    </row>
    <row r="16" spans="1:15" s="1" customFormat="1" ht="14.25">
      <c r="A16" s="43" t="s">
        <v>16</v>
      </c>
      <c r="B16" s="45">
        <f>(Exp!B18+Imp!G12)/($P$24)*100</f>
        <v>0.24077407825165176</v>
      </c>
      <c r="C16" s="45">
        <f>(Exp!C18+Imp!G13)/($P$24)*100</f>
        <v>0.07016453237108287</v>
      </c>
      <c r="D16" s="45">
        <f>(Exp!D18+Imp!G14)/($P$24)*100</f>
        <v>0.5323415598211445</v>
      </c>
      <c r="E16" s="45">
        <f>(Exp!E18+Imp!G15)/($P$24)*100</f>
        <v>0.36881881642573816</v>
      </c>
      <c r="F16" s="45">
        <f>(Exp!F18+Imp!G16)/($P$24)*100</f>
        <v>1.3075148483600136</v>
      </c>
      <c r="G16" s="45">
        <f>(Imp!G17*2)/($P$24)*100</f>
        <v>0.007009232315363138</v>
      </c>
      <c r="H16" s="44" t="s">
        <v>43</v>
      </c>
      <c r="I16" s="45">
        <f>(Exp!H18+Imp!G19)/($P$24)*100</f>
        <v>0.5932656029935169</v>
      </c>
      <c r="J16" s="45">
        <f>(+Imp!G20*2)/($P$24)*100</f>
        <v>1.1069940798604536</v>
      </c>
      <c r="K16" s="45">
        <f>(Exp!I18+Imp!G21)/($P$24)*100</f>
        <v>0.008603197059961192</v>
      </c>
      <c r="L16" s="45">
        <f>(Exp!J18+Imp!G22)/($P$24)*100</f>
        <v>0.6483584185813589</v>
      </c>
      <c r="M16" s="45">
        <f>(Exp!K18+Imp!G23)/($P$24)*100</f>
        <v>0.023337047536228946</v>
      </c>
      <c r="N16" s="45">
        <f>+(Imp!G24*2)/($P$24)*100</f>
        <v>0.0365972675396825</v>
      </c>
      <c r="O16" s="46">
        <f t="shared" si="0"/>
        <v>4.9437786811161955</v>
      </c>
    </row>
    <row r="17" spans="1:15" s="1" customFormat="1" ht="14.25">
      <c r="A17" s="43" t="s">
        <v>8</v>
      </c>
      <c r="B17" s="45">
        <f>(Exp!B19+Imp!H12)/($P$24)*100</f>
        <v>0.6676371762358854</v>
      </c>
      <c r="C17" s="45">
        <f>(Exp!C19+Imp!H13)/($P$24)*100</f>
        <v>0.01797165880156921</v>
      </c>
      <c r="D17" s="45">
        <f>(Exp!D19+Imp!H14)/($P$24)*100</f>
        <v>2.4875344410756175</v>
      </c>
      <c r="E17" s="45">
        <f>(Exp!E19+Imp!H15)/($P$24)*100</f>
        <v>0.8763782291730591</v>
      </c>
      <c r="F17" s="45">
        <f>(Exp!F19+Imp!H16)/($P$24)*100</f>
        <v>0.5351858916312578</v>
      </c>
      <c r="G17" s="45">
        <f>(Imp!H17*2)/($P$24)*100</f>
        <v>0.00856590647443156</v>
      </c>
      <c r="H17" s="45">
        <f>(Exp!G19+Imp!H18)/($P$24)*100</f>
        <v>0.0606073646683975</v>
      </c>
      <c r="I17" s="44" t="s">
        <v>43</v>
      </c>
      <c r="J17" s="45">
        <f>(+Imp!H20*2)/($P$24)*100</f>
        <v>0.011048632079204986</v>
      </c>
      <c r="K17" s="45">
        <f>(Exp!I19+Imp!H21)/($P$24)*100</f>
        <v>0.2357369607890991</v>
      </c>
      <c r="L17" s="45">
        <f>(Exp!J19+Imp!H22)/($P$24)*100</f>
        <v>0.3299669628159628</v>
      </c>
      <c r="M17" s="45">
        <f>(Exp!K19+Imp!H23)/($P$24)*100</f>
        <v>0.12907744978558866</v>
      </c>
      <c r="N17" s="45">
        <f>+(Imp!H24*2)/($P$24)*100</f>
        <v>0.06355709864427436</v>
      </c>
      <c r="O17" s="46">
        <f t="shared" si="0"/>
        <v>5.4232677721743485</v>
      </c>
    </row>
    <row r="18" spans="1:15" s="1" customFormat="1" ht="14.25">
      <c r="A18" s="80" t="s">
        <v>64</v>
      </c>
      <c r="B18" s="45">
        <f>(Exp!B20*2)/($P$24)*100</f>
        <v>0.08036371005861535</v>
      </c>
      <c r="C18" s="45">
        <f>(Exp!C20*2)/($P$24)*100</f>
        <v>0.018808625406968437</v>
      </c>
      <c r="D18" s="45">
        <f>(Exp!D20*2)/($P$24)*100</f>
        <v>1.5901902913663792</v>
      </c>
      <c r="E18" s="45">
        <f>(Exp!E20*2)/($P$24)*100</f>
        <v>0.08478324746646226</v>
      </c>
      <c r="F18" s="45">
        <f>(Exp!F20*2)/($P$24)*100</f>
        <v>1.8781706949929329</v>
      </c>
      <c r="G18" s="48" t="s">
        <v>47</v>
      </c>
      <c r="H18" s="45">
        <f>(Exp!G20*2)/($P$24)*100</f>
        <v>0.27293116223044867</v>
      </c>
      <c r="I18" s="45">
        <f>(Exp!H20*2)/($P$24)*100</f>
        <v>0.6560472923517439</v>
      </c>
      <c r="J18" s="44" t="s">
        <v>43</v>
      </c>
      <c r="K18" s="45">
        <f>(Exp!I20*2)/($P$24)*100</f>
        <v>0.002955227875032387</v>
      </c>
      <c r="L18" s="45">
        <f>(Exp!J20*2)/($P$24)*100</f>
        <v>0.3148000032613702</v>
      </c>
      <c r="M18" s="45">
        <f>(Exp!K20*2)/($P$24)*100</f>
        <v>0.006403749762914652</v>
      </c>
      <c r="N18" s="48" t="s">
        <v>47</v>
      </c>
      <c r="O18" s="46">
        <f t="shared" si="0"/>
        <v>4.905454004772867</v>
      </c>
    </row>
    <row r="19" spans="1:15" s="1" customFormat="1" ht="14.25">
      <c r="A19" s="43" t="s">
        <v>9</v>
      </c>
      <c r="B19" s="45">
        <f>(Exp!B21+Imp!I12)/($P$24)*100</f>
        <v>0.9423937436368207</v>
      </c>
      <c r="C19" s="45">
        <f>(Exp!C21+Imp!I13)/($P$24)*100</f>
        <v>0.017967176224007685</v>
      </c>
      <c r="D19" s="45">
        <f>(Exp!D21+Imp!I14)/($P$24)*100</f>
        <v>1.9244929625678289</v>
      </c>
      <c r="E19" s="45">
        <f>(Exp!E21+Imp!I15)/($P$24)*100</f>
        <v>0.08603580310659589</v>
      </c>
      <c r="F19" s="45">
        <f>(Exp!F21+Imp!I16)/($P$24)*100</f>
        <v>0.010763880342668695</v>
      </c>
      <c r="G19" s="45">
        <f>(Imp!I17*2)/($P$24)*100</f>
        <v>0.00044400649550406035</v>
      </c>
      <c r="H19" s="45">
        <f>(Exp!G21+Imp!I18)/($P$24)*100</f>
        <v>0.002125808310505845</v>
      </c>
      <c r="I19" s="45">
        <f>(Exp!H21+Imp!I19)/($P$24)*100</f>
        <v>0.0900080162108649</v>
      </c>
      <c r="J19" s="45">
        <f>(+Imp!I20*2)/($P$24)*100</f>
        <v>0.005401163378773482</v>
      </c>
      <c r="K19" s="44" t="s">
        <v>43</v>
      </c>
      <c r="L19" s="45">
        <f>(Exp!J21+Imp!I22)/($P$24)*100</f>
        <v>0.005866896494150081</v>
      </c>
      <c r="M19" s="45">
        <f>(Exp!K21+Imp!I23)/($P$24)*100</f>
        <v>0.0882970789317059</v>
      </c>
      <c r="N19" s="45">
        <f>+(Imp!I24*2)/($P$24)*100</f>
        <v>0.00010759763531097984</v>
      </c>
      <c r="O19" s="46">
        <f t="shared" si="0"/>
        <v>3.1739041333347373</v>
      </c>
    </row>
    <row r="20" spans="1:15" s="1" customFormat="1" ht="14.25">
      <c r="A20" s="43" t="s">
        <v>10</v>
      </c>
      <c r="B20" s="45">
        <f>(Exp!B22+Imp!J12)/($P$24)*100</f>
        <v>1.0466574478883637</v>
      </c>
      <c r="C20" s="45">
        <f>(Exp!C22+Imp!J13)/($P$24)*100</f>
        <v>0.35515796692632595</v>
      </c>
      <c r="D20" s="45">
        <f>(Exp!D22+Imp!J14)/($P$24)*100</f>
        <v>1.3934591748615113</v>
      </c>
      <c r="E20" s="45">
        <f>(Exp!E22+Imp!J15)/($P$24)*100</f>
        <v>0.9296240580947177</v>
      </c>
      <c r="F20" s="45">
        <f>(Exp!F22+Imp!J16)/($P$24)*100</f>
        <v>0.8638638589390641</v>
      </c>
      <c r="G20" s="45">
        <f>(Imp!J17*2)/($P$24)*100</f>
        <v>0.001312507694241681</v>
      </c>
      <c r="H20" s="45">
        <f>(Exp!G22+Imp!J18)/($P$24)*100</f>
        <v>1.2578706537197988</v>
      </c>
      <c r="I20" s="45">
        <f>(Exp!H22+Imp!J19)/($P$24)*100</f>
        <v>1.1206430879783047</v>
      </c>
      <c r="J20" s="45">
        <f>(+Imp!J20*2)/($P$24)*100</f>
        <v>0.04736561172644325</v>
      </c>
      <c r="K20" s="45">
        <f>(Exp!I22+Imp!J21)/($P$24)*100</f>
        <v>0.1241510494300481</v>
      </c>
      <c r="L20" s="44" t="s">
        <v>43</v>
      </c>
      <c r="M20" s="45">
        <f>(Exp!K22+Imp!J23)/($P$24)*100</f>
        <v>0.0888146899595161</v>
      </c>
      <c r="N20" s="45">
        <f>+(Imp!J24*2)/($P$24)*100</f>
        <v>0.06287671601498418</v>
      </c>
      <c r="O20" s="46">
        <f t="shared" si="0"/>
        <v>7.29179682323332</v>
      </c>
    </row>
    <row r="21" spans="1:15" s="1" customFormat="1" ht="14.25">
      <c r="A21" s="43" t="s">
        <v>11</v>
      </c>
      <c r="B21" s="45">
        <f>(Exp!B23+Imp!K12)/($P$24)*100</f>
        <v>1.109967524191416</v>
      </c>
      <c r="C21" s="45">
        <f>(Exp!C23+Imp!K13)/($P$24)*100</f>
        <v>0.005546137755611773</v>
      </c>
      <c r="D21" s="45">
        <f>(Exp!D23+Imp!K14)/($P$24)*100</f>
        <v>1.1536931240442794</v>
      </c>
      <c r="E21" s="45">
        <f>(Exp!E23+Imp!K15)/($P$24)*100</f>
        <v>0.1054500803489748</v>
      </c>
      <c r="F21" s="45">
        <f>(Exp!F23+Imp!K16)/($P$24)*100</f>
        <v>0.010625613560303145</v>
      </c>
      <c r="G21" s="45">
        <f>(Imp!K17*2)/($P$24)*100</f>
        <v>0.0005617509845384337</v>
      </c>
      <c r="H21" s="45">
        <f>(Exp!G23+Imp!K18)/($P$24)*100</f>
        <v>0.013306841808101688</v>
      </c>
      <c r="I21" s="45">
        <f>(Exp!H23+Imp!K19)/($P$24)*100</f>
        <v>0.17835993697645028</v>
      </c>
      <c r="J21" s="45">
        <f>(+Imp!K20*2)/($P$24)*100</f>
        <v>0.0014079886243665676</v>
      </c>
      <c r="K21" s="45">
        <f>(Exp!I23+Imp!K21)/($P$24)*100</f>
        <v>0.13586714698474192</v>
      </c>
      <c r="L21" s="45">
        <f>(Exp!J23+Imp!K22)/($P$24)*100</f>
        <v>0.019693223370993242</v>
      </c>
      <c r="M21" s="44" t="s">
        <v>43</v>
      </c>
      <c r="N21" s="45">
        <f>+(Imp!K24*2)/($P$24)*100</f>
        <v>0.4011920797232036</v>
      </c>
      <c r="O21" s="46">
        <f t="shared" si="0"/>
        <v>3.135671448372981</v>
      </c>
    </row>
    <row r="22" spans="1:16" s="1" customFormat="1" ht="14.25">
      <c r="A22" s="43" t="s">
        <v>12</v>
      </c>
      <c r="B22" s="45">
        <f>(Exp!B24*2)/($P$24)*100</f>
        <v>1.277136072421497</v>
      </c>
      <c r="C22" s="45">
        <f>(Exp!C24*2)/($P$24)*100</f>
        <v>0.0734516744452712</v>
      </c>
      <c r="D22" s="45">
        <f>(Exp!D24*2)/($P$24)*100</f>
        <v>2.5507800660913986</v>
      </c>
      <c r="E22" s="45">
        <f>(Exp!E24*2)/($P$24)*100</f>
        <v>0.2832088949277846</v>
      </c>
      <c r="F22" s="45">
        <f>(Exp!F24*2)/($P$24)*100</f>
        <v>1.3566720159513808</v>
      </c>
      <c r="G22" s="48" t="s">
        <v>47</v>
      </c>
      <c r="H22" s="45">
        <f>(Exp!G24*2)/($P$24)*100</f>
        <v>0.283673609651101</v>
      </c>
      <c r="I22" s="45">
        <f>(Exp!H24*2)/($P$24)*100</f>
        <v>1.3398460687961107</v>
      </c>
      <c r="J22" s="48" t="s">
        <v>47</v>
      </c>
      <c r="K22" s="45">
        <f>(Exp!I24*2)/($P$24)*100</f>
        <v>0.03206867071438955</v>
      </c>
      <c r="L22" s="45">
        <f>(Exp!J24*2)/($P$24)*100</f>
        <v>0.4468165556054106</v>
      </c>
      <c r="M22" s="45">
        <f>(Exp!K24*2)/($P$24)*100</f>
        <v>0.2287944182371139</v>
      </c>
      <c r="N22" s="44" t="s">
        <v>43</v>
      </c>
      <c r="O22" s="46">
        <f t="shared" si="0"/>
        <v>7.872448046841459</v>
      </c>
      <c r="P22" s="81"/>
    </row>
    <row r="23" spans="1:15" s="1" customFormat="1" ht="6" customHeight="1">
      <c r="A23" s="43"/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50"/>
    </row>
    <row r="24" spans="1:16" s="1" customFormat="1" ht="14.25">
      <c r="A24" s="51" t="s">
        <v>29</v>
      </c>
      <c r="B24" s="46">
        <f aca="true" t="shared" si="1" ref="B24:N24">SUM(B10:B23)</f>
        <v>20.493468575528116</v>
      </c>
      <c r="C24" s="46">
        <f t="shared" si="1"/>
        <v>4.843278248725635</v>
      </c>
      <c r="D24" s="46">
        <f t="shared" si="1"/>
        <v>29.34927668218804</v>
      </c>
      <c r="E24" s="46">
        <f t="shared" si="1"/>
        <v>6.851649624244112</v>
      </c>
      <c r="F24" s="46">
        <f t="shared" si="1"/>
        <v>8.292067635349742</v>
      </c>
      <c r="G24" s="46">
        <f t="shared" si="1"/>
        <v>0.1009877389555093</v>
      </c>
      <c r="H24" s="46">
        <f t="shared" si="1"/>
        <v>4.181551068920781</v>
      </c>
      <c r="I24" s="46">
        <f t="shared" si="1"/>
        <v>13.583525099016004</v>
      </c>
      <c r="J24" s="46">
        <f t="shared" si="1"/>
        <v>1.2345239468001137</v>
      </c>
      <c r="K24" s="46">
        <f t="shared" si="1"/>
        <v>2.541445447609533</v>
      </c>
      <c r="L24" s="46">
        <f t="shared" si="1"/>
        <v>4.813847043690486</v>
      </c>
      <c r="M24" s="46">
        <f t="shared" si="1"/>
        <v>2.0578245886791215</v>
      </c>
      <c r="N24" s="46">
        <f t="shared" si="1"/>
        <v>1.656554300292817</v>
      </c>
      <c r="O24" s="52">
        <f>SUM(B24:N24)</f>
        <v>100</v>
      </c>
      <c r="P24" s="18">
        <f>Exp!L25+Imp!L25+Imp!L24+Imp!L17+Imp!L20+Exp!L17+Exp!L20+Exp!L24</f>
        <v>244962.63253203998</v>
      </c>
    </row>
    <row r="25" spans="1:15" ht="9.75" customHeight="1">
      <c r="A25" s="35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</row>
    <row r="26" spans="1:15" s="21" customFormat="1" ht="12.75">
      <c r="A26" s="53"/>
      <c r="B26" s="42">
        <f>+B9-1</f>
        <v>2012</v>
      </c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54"/>
    </row>
    <row r="27" spans="1:16" ht="14.25" customHeight="1">
      <c r="A27" s="43" t="s">
        <v>1</v>
      </c>
      <c r="B27" s="44" t="s">
        <v>43</v>
      </c>
      <c r="C27" s="45">
        <f>(Exp!C29+Imp!B30)/($P$41)*100</f>
        <v>1.0089979181731552</v>
      </c>
      <c r="D27" s="45">
        <f>(Exp!D29+Imp!B31)/($P$41)*100</f>
        <v>11.030348476488845</v>
      </c>
      <c r="E27" s="45">
        <f>(Exp!E29+Imp!B32)/($P$41)*100</f>
        <v>0.6697798365494498</v>
      </c>
      <c r="F27" s="45">
        <f>(Exp!F29+Imp!B33)/($P$41)*100</f>
        <v>0.17830300733988233</v>
      </c>
      <c r="G27" s="45">
        <f>(Imp!B34*2)/($P$41)*100</f>
        <v>0.007087922861240563</v>
      </c>
      <c r="H27" s="45">
        <f>(Exp!G29+Imp!B35)/($P$41)*100</f>
        <v>0.10400563460731121</v>
      </c>
      <c r="I27" s="45">
        <f>(Exp!H29+Imp!B36)/($P$41)*100</f>
        <v>1.2532523896527659</v>
      </c>
      <c r="J27" s="45">
        <f>+Imp!B37*2/Part!$P$41*100</f>
        <v>0.0001531055810075044</v>
      </c>
      <c r="K27" s="45">
        <f>(Exp!I29+Imp!B38)/($P$41)*100</f>
        <v>0.3236351706154954</v>
      </c>
      <c r="L27" s="45">
        <f>(Exp!J29+Imp!B39)/($P$41)*100</f>
        <v>0.11196748650352674</v>
      </c>
      <c r="M27" s="45">
        <f>(Exp!K29+Imp!B40)/($P$41)*100</f>
        <v>0.3276772135256718</v>
      </c>
      <c r="N27" s="45">
        <f>+(Imp!B41*2)/($P$41)*100</f>
        <v>0.018233186033740207</v>
      </c>
      <c r="O27" s="46">
        <f aca="true" t="shared" si="2" ref="O27:O39">SUM(B27:N27)</f>
        <v>15.033441347932094</v>
      </c>
      <c r="P27" s="31"/>
    </row>
    <row r="28" spans="1:16" ht="14.25" customHeight="1">
      <c r="A28" s="43" t="s">
        <v>2</v>
      </c>
      <c r="B28" s="45">
        <f>(Exp!B30+Imp!C29)/($P$41)*100</f>
        <v>0.6141650971952834</v>
      </c>
      <c r="C28" s="44" t="s">
        <v>43</v>
      </c>
      <c r="D28" s="45">
        <f>(Exp!D30+Imp!C31)/($P$41)*100</f>
        <v>0.8834520136301303</v>
      </c>
      <c r="E28" s="45">
        <f>(Exp!E30+Imp!C32)/($P$41)*100</f>
        <v>0.23857555987536974</v>
      </c>
      <c r="F28" s="45">
        <f>(Exp!F30+Imp!C33)/($P$41)*100</f>
        <v>0.08159593351619675</v>
      </c>
      <c r="G28" s="45">
        <f>(Imp!C34*2)/($P$41)*100</f>
        <v>0.002726909441562723</v>
      </c>
      <c r="H28" s="45">
        <f>(Exp!G30+Imp!C35)/($P$41)*100</f>
        <v>0.016984856971288702</v>
      </c>
      <c r="I28" s="45">
        <f>(Exp!H30+Imp!C36)/($P$41)*100</f>
        <v>0.1173136014878478</v>
      </c>
      <c r="J28" s="45">
        <f>+Imp!C37*2/Part!$P$41*100</f>
        <v>0.002471476690498796</v>
      </c>
      <c r="K28" s="45">
        <f>(Exp!I30+Imp!C38)/($P$41)*100</f>
        <v>0.047306976118950586</v>
      </c>
      <c r="L28" s="45">
        <f>(Exp!J30+Imp!C39)/($P$41)*100</f>
        <v>0.33896046502231947</v>
      </c>
      <c r="M28" s="45">
        <f>(Exp!K30+Imp!C40)/($P$41)*100</f>
        <v>0.017617501883886135</v>
      </c>
      <c r="N28" s="45">
        <f>+(Imp!C41*2)/($P$41)*100</f>
        <v>0.29661366848282755</v>
      </c>
      <c r="O28" s="46">
        <f t="shared" si="2"/>
        <v>2.6577840603161618</v>
      </c>
      <c r="P28" s="31"/>
    </row>
    <row r="29" spans="1:16" ht="14.25" customHeight="1">
      <c r="A29" s="43" t="s">
        <v>3</v>
      </c>
      <c r="B29" s="45">
        <f>(Exp!B31+Imp!D29)/($P$41)*100</f>
        <v>9.576794589733785</v>
      </c>
      <c r="C29" s="45">
        <f>(Exp!C31+Imp!D30)/($P$41)*100</f>
        <v>2.0701528408827623</v>
      </c>
      <c r="D29" s="44" t="s">
        <v>43</v>
      </c>
      <c r="E29" s="45">
        <f>(Exp!E31+Imp!D32)/($P$41)*100</f>
        <v>2.5737769032330045</v>
      </c>
      <c r="F29" s="45">
        <f>(Exp!F31+Imp!D33)/($P$41)*100</f>
        <v>0.8027052259217491</v>
      </c>
      <c r="G29" s="45">
        <f>(Imp!D34*2)/($P$41)*100</f>
        <v>0.05655660007556412</v>
      </c>
      <c r="H29" s="45">
        <f>(Exp!G31+Imp!D35)/($P$41)*100</f>
        <v>0.08906218437134607</v>
      </c>
      <c r="I29" s="45">
        <f>(Exp!H31+Imp!D36)/($P$41)*100</f>
        <v>3.7551888167250933</v>
      </c>
      <c r="J29" s="45">
        <f>+Imp!D37*2/Part!$P$41*100</f>
        <v>0.009010513834340145</v>
      </c>
      <c r="K29" s="45">
        <f>(Exp!I31+Imp!D38)/($P$41)*100</f>
        <v>1.120568175162852</v>
      </c>
      <c r="L29" s="45">
        <f>(Exp!J31+Imp!D39)/($P$41)*100</f>
        <v>0.7718916236567395</v>
      </c>
      <c r="M29" s="45">
        <f>(Exp!K31+Imp!D40)/($P$41)*100</f>
        <v>1.0154004449549097</v>
      </c>
      <c r="N29" s="45">
        <f>+(Imp!D41*2)/($P$41)*100</f>
        <v>0.6319125451667474</v>
      </c>
      <c r="O29" s="46">
        <f t="shared" si="2"/>
        <v>22.473020463718896</v>
      </c>
      <c r="P29" s="31"/>
    </row>
    <row r="30" spans="1:15" ht="14.25" customHeight="1">
      <c r="A30" s="43" t="s">
        <v>4</v>
      </c>
      <c r="B30" s="45">
        <f>(Exp!B32+Imp!E29)/($P$41)*100</f>
        <v>3.0658463606253616</v>
      </c>
      <c r="C30" s="45">
        <f>(Exp!C32+Imp!E30)/($P$41)*100</f>
        <v>0.1489712502150573</v>
      </c>
      <c r="D30" s="45">
        <f>(Exp!D32+Imp!E31)/($P$41)*100</f>
        <v>2.8875312465665415</v>
      </c>
      <c r="E30" s="44" t="s">
        <v>43</v>
      </c>
      <c r="F30" s="45">
        <f>(Exp!F32+Imp!E33)/($P$41)*100</f>
        <v>1.2863718932538997</v>
      </c>
      <c r="G30" s="45">
        <f>(Imp!E34*2)/($P$41)*100</f>
        <v>0.0038581991786703507</v>
      </c>
      <c r="H30" s="45">
        <f>(Exp!G32+Imp!E35)/($P$41)*100</f>
        <v>1.2887955773467474</v>
      </c>
      <c r="I30" s="45">
        <f>(Exp!H32+Imp!E36)/($P$41)*100</f>
        <v>1.471639771005006</v>
      </c>
      <c r="J30" s="45">
        <f>+Imp!E37*2/Part!$P$41*100</f>
        <v>0.02461779545455967</v>
      </c>
      <c r="K30" s="45">
        <f>(Exp!I32+Imp!E38)/($P$41)*100</f>
        <v>0.09394256185573066</v>
      </c>
      <c r="L30" s="45">
        <f>(Exp!J32+Imp!E39)/($P$41)*100</f>
        <v>1.284540431949164</v>
      </c>
      <c r="M30" s="45">
        <f>(Exp!K32+Imp!E40)/($P$41)*100</f>
        <v>0.13516018739213792</v>
      </c>
      <c r="N30" s="45">
        <f>+(Imp!E41*2)/($P$41)*100</f>
        <v>0.12369092329953443</v>
      </c>
      <c r="O30" s="46">
        <f t="shared" si="2"/>
        <v>11.814966198142411</v>
      </c>
    </row>
    <row r="31" spans="1:15" ht="14.25" customHeight="1">
      <c r="A31" s="47" t="s">
        <v>5</v>
      </c>
      <c r="B31" s="45">
        <f>(Exp!B33+Imp!F29)/($P$41)*100</f>
        <v>1.410596764807288</v>
      </c>
      <c r="C31" s="45">
        <f>(Exp!C33+Imp!F30)/($P$41)*100</f>
        <v>0.20782994585503448</v>
      </c>
      <c r="D31" s="45">
        <f>(Exp!D33+Imp!F31)/($P$41)*100</f>
        <v>1.7549317169304814</v>
      </c>
      <c r="E31" s="45">
        <f>(Exp!E33+Imp!F32)/($P$41)*100</f>
        <v>0.6088960153791807</v>
      </c>
      <c r="F31" s="44" t="s">
        <v>43</v>
      </c>
      <c r="G31" s="45">
        <f>(Imp!F34*2)/($P$41)*100</f>
        <v>0.018063867778136927</v>
      </c>
      <c r="H31" s="45">
        <f>(Exp!G33+Imp!F35)/($P$41)*100</f>
        <v>0.6606331421578102</v>
      </c>
      <c r="I31" s="45">
        <f>(Exp!H33+Imp!F36)/($P$41)*100</f>
        <v>3.889902356245006</v>
      </c>
      <c r="J31" s="45">
        <f>+Imp!F37*2/Part!$P$41*100</f>
        <v>0.04787733536958824</v>
      </c>
      <c r="K31" s="45">
        <f>(Exp!I33+Imp!F38)/($P$41)*100</f>
        <v>0.03208956548681205</v>
      </c>
      <c r="L31" s="45">
        <f>(Exp!J33+Imp!F39)/($P$41)*100</f>
        <v>0.5631822251103786</v>
      </c>
      <c r="M31" s="45">
        <f>(Exp!K33+Imp!F40)/($P$41)*100</f>
        <v>0.03896807859428943</v>
      </c>
      <c r="N31" s="45">
        <f>+(Imp!F41*2)/($P$41)*100</f>
        <v>0.33838243978371874</v>
      </c>
      <c r="O31" s="46">
        <f t="shared" si="2"/>
        <v>9.571353453497723</v>
      </c>
    </row>
    <row r="32" spans="1:15" ht="14.25" customHeight="1">
      <c r="A32" s="43" t="s">
        <v>7</v>
      </c>
      <c r="B32" s="45">
        <f>(Exp!B34*2)/($P$41)*100</f>
        <v>0.0687766403519117</v>
      </c>
      <c r="C32" s="45">
        <f>(Exp!C34*2)/($P$41)*100</f>
        <v>0.0004330694126378578</v>
      </c>
      <c r="D32" s="45">
        <f>(Exp!D34*2)/($P$41)*100</f>
        <v>0.33987545892296106</v>
      </c>
      <c r="E32" s="45">
        <f>(Exp!E34*2)/($P$41)*100</f>
        <v>0.01677446280258218</v>
      </c>
      <c r="F32" s="45">
        <f>(Exp!F34*2)/($P$41)*100</f>
        <v>0.018782295424574567</v>
      </c>
      <c r="G32" s="44" t="s">
        <v>43</v>
      </c>
      <c r="H32" s="45">
        <f>(Exp!G34*2)/($P$41)*100</f>
        <v>0.010424057285672531</v>
      </c>
      <c r="I32" s="45">
        <f>(Exp!H34*2)/($P$41)*100</f>
        <v>0.23270655989354466</v>
      </c>
      <c r="J32" s="48" t="s">
        <v>47</v>
      </c>
      <c r="K32" s="45">
        <f>(Exp!I34*2)/($P$41)*100</f>
        <v>0.0004701485151190899</v>
      </c>
      <c r="L32" s="45">
        <f>(Exp!J34*2)/($P$41)*100</f>
        <v>0.01151089781868585</v>
      </c>
      <c r="M32" s="45">
        <f>(Exp!K34*2)/($P$41)*100</f>
        <v>0.03388279257967111</v>
      </c>
      <c r="N32" s="48" t="s">
        <v>47</v>
      </c>
      <c r="O32" s="46">
        <f t="shared" si="2"/>
        <v>0.7336363830073604</v>
      </c>
    </row>
    <row r="33" spans="1:16" ht="14.25" customHeight="1">
      <c r="A33" s="43" t="s">
        <v>16</v>
      </c>
      <c r="B33" s="45">
        <f>(Exp!B35+Imp!G29)/($P$41)*100</f>
        <v>0.30469560693912284</v>
      </c>
      <c r="C33" s="45">
        <f>(Exp!C35+Imp!G30)/($P$41)*100</f>
        <v>0.0825545143759407</v>
      </c>
      <c r="D33" s="45">
        <f>(Exp!D35+Imp!G31)/($P$41)*100</f>
        <v>0.5904226368097004</v>
      </c>
      <c r="E33" s="45">
        <f>(Exp!E35+Imp!G32)/($P$41)*100</f>
        <v>0.3690069370952857</v>
      </c>
      <c r="F33" s="45">
        <f>(Exp!F35+Imp!G33)/($P$41)*100</f>
        <v>1.275574271491899</v>
      </c>
      <c r="G33" s="45">
        <f>(Imp!G34*2)/($P$41)*100</f>
        <v>0.008669512990064283</v>
      </c>
      <c r="H33" s="44" t="s">
        <v>43</v>
      </c>
      <c r="I33" s="45">
        <f>(Exp!H35+Imp!G36)/($P$41)*100</f>
        <v>0.5595441805642779</v>
      </c>
      <c r="J33" s="45">
        <f>+Imp!G37*2/Part!$P$41*100</f>
        <v>0.9626709790957761</v>
      </c>
      <c r="K33" s="45">
        <f>(Exp!I35+Imp!G38)/($P$41)*100</f>
        <v>0.005399364433532997</v>
      </c>
      <c r="L33" s="45">
        <f>(Exp!J35+Imp!G39)/($P$41)*100</f>
        <v>0.6154797745897171</v>
      </c>
      <c r="M33" s="45">
        <f>(Exp!K35+Imp!G40)/($P$41)*100</f>
        <v>0.03020007676196494</v>
      </c>
      <c r="N33" s="45">
        <f>+(Imp!G41*2)/($P$41)*100</f>
        <v>0.17469744484158806</v>
      </c>
      <c r="O33" s="46">
        <f t="shared" si="2"/>
        <v>4.97891529998887</v>
      </c>
      <c r="P33" s="33"/>
    </row>
    <row r="34" spans="1:15" ht="14.25" customHeight="1">
      <c r="A34" s="43" t="s">
        <v>8</v>
      </c>
      <c r="B34" s="45">
        <f>(Exp!B36+Imp!H29)/($P$41)*100</f>
        <v>0.5653412934604317</v>
      </c>
      <c r="C34" s="45">
        <f>(Exp!C36+Imp!H30)/($P$41)*100</f>
        <v>0.026910016278543388</v>
      </c>
      <c r="D34" s="45">
        <f>(Exp!D36+Imp!H31)/($P$41)*100</f>
        <v>2.63746775792975</v>
      </c>
      <c r="E34" s="45">
        <f>(Exp!E36+Imp!H32)/($P$41)*100</f>
        <v>0.8894977694179829</v>
      </c>
      <c r="F34" s="45">
        <f>(Exp!F36+Imp!H33)/($P$41)*100</f>
        <v>0.5282050366863853</v>
      </c>
      <c r="G34" s="45">
        <f>(Imp!H34*2)/($P$41)*100</f>
        <v>0.011180352572209586</v>
      </c>
      <c r="H34" s="45">
        <f>(Exp!G36+Imp!H35)/($P$41)*100</f>
        <v>0.0632708522052742</v>
      </c>
      <c r="I34" s="44" t="s">
        <v>43</v>
      </c>
      <c r="J34" s="45">
        <f>+Imp!H37*2/Part!$P$41*100</f>
        <v>0.04008363615010957</v>
      </c>
      <c r="K34" s="45">
        <f>(Exp!I36+Imp!H38)/($P$41)*100</f>
        <v>0.08106555480633772</v>
      </c>
      <c r="L34" s="45">
        <f>(Exp!J36+Imp!H39)/($P$41)*100</f>
        <v>0.2524708989762689</v>
      </c>
      <c r="M34" s="45">
        <f>(Exp!K36+Imp!H40)/($P$41)*100</f>
        <v>0.13161268709521348</v>
      </c>
      <c r="N34" s="45">
        <f>+(Imp!H41*2)/($P$41)*100</f>
        <v>0.12776378951134026</v>
      </c>
      <c r="O34" s="46">
        <f t="shared" si="2"/>
        <v>5.354869645089847</v>
      </c>
    </row>
    <row r="35" spans="1:15" ht="14.25" customHeight="1">
      <c r="A35" s="80" t="s">
        <v>64</v>
      </c>
      <c r="B35" s="45">
        <f>(Exp!B37*2)/($P$41)*100</f>
        <v>0.1021570532065664</v>
      </c>
      <c r="C35" s="45">
        <f>(Exp!C37*2)/($P$41)*100</f>
        <v>0.02220460124124243</v>
      </c>
      <c r="D35" s="45">
        <f>(Exp!D37*2)/($P$41)*100</f>
        <v>0.23147434549890875</v>
      </c>
      <c r="E35" s="45">
        <f>(Exp!E37*2)/($P$41)*100</f>
        <v>0.08599384199698007</v>
      </c>
      <c r="F35" s="45">
        <f>(Exp!F37*2)/($P$41)*100</f>
        <v>1.6777330070283123</v>
      </c>
      <c r="G35" s="48" t="s">
        <v>47</v>
      </c>
      <c r="H35" s="45">
        <f>(Exp!G37*2)/($P$41)*100</f>
        <v>0.6917009888857383</v>
      </c>
      <c r="I35" s="45">
        <f>(Exp!H37*2)/($P$41)*100</f>
        <v>0.6962965149512075</v>
      </c>
      <c r="J35" s="44" t="s">
        <v>43</v>
      </c>
      <c r="K35" s="45">
        <f>(Exp!I37*2)/($P$41)*100</f>
        <v>0.003967255839383316</v>
      </c>
      <c r="L35" s="45">
        <f>(Exp!J37*2)/($P$41)*100</f>
        <v>0.23911520508501177</v>
      </c>
      <c r="M35" s="45">
        <f>(Exp!K37*2)/($P$41)*100</f>
        <v>0.007374409122530541</v>
      </c>
      <c r="N35" s="48" t="s">
        <v>47</v>
      </c>
      <c r="O35" s="46">
        <f>SUM(B35:N35)</f>
        <v>3.7580172228558806</v>
      </c>
    </row>
    <row r="36" spans="1:15" ht="14.25" customHeight="1">
      <c r="A36" s="43" t="s">
        <v>9</v>
      </c>
      <c r="B36" s="45">
        <f>(Exp!B38+Imp!I29)/($P$41)*100</f>
        <v>1.0111977626775792</v>
      </c>
      <c r="C36" s="45">
        <f>(Exp!C38+Imp!I30)/($P$41)*100</f>
        <v>0.016000118626213033</v>
      </c>
      <c r="D36" s="45">
        <f>(Exp!D38+Imp!I31)/($P$41)*100</f>
        <v>1.576036468113496</v>
      </c>
      <c r="E36" s="45">
        <f>(Exp!E38+Imp!I32)/($P$41)*100</f>
        <v>0.08488510556856878</v>
      </c>
      <c r="F36" s="45">
        <f>(Exp!F38+Imp!I33)/($P$41)*100</f>
        <v>0.011376140060575017</v>
      </c>
      <c r="G36" s="45">
        <f>(Imp!I34*2)/($P$41)*100</f>
        <v>0.0005073712755589069</v>
      </c>
      <c r="H36" s="45">
        <f>(Exp!G38+Imp!I35)/($P$41)*100</f>
        <v>0.0020997114601267637</v>
      </c>
      <c r="I36" s="45">
        <f>(Exp!H38+Imp!I36)/($P$41)*100</f>
        <v>0.0857087713350545</v>
      </c>
      <c r="J36" s="45">
        <f>+Imp!I37*2/Part!$P$41*100</f>
        <v>0.004434789464251023</v>
      </c>
      <c r="K36" s="44" t="s">
        <v>43</v>
      </c>
      <c r="L36" s="45">
        <f>(Exp!J38+Imp!I39)/($P$41)*100</f>
        <v>0.006502641950341527</v>
      </c>
      <c r="M36" s="45">
        <f>(Exp!K38+Imp!I40)/($P$41)*100</f>
        <v>0.09634318898658956</v>
      </c>
      <c r="N36" s="45">
        <f>+(Imp!I41*2)/($P$41)*100</f>
        <v>0.10886832668977338</v>
      </c>
      <c r="O36" s="46">
        <f t="shared" si="2"/>
        <v>3.003960396208128</v>
      </c>
    </row>
    <row r="37" spans="1:15" ht="14.25" customHeight="1">
      <c r="A37" s="43" t="s">
        <v>10</v>
      </c>
      <c r="B37" s="45">
        <f>(Exp!B39+Imp!J29)/($P$41)*100</f>
        <v>1.1905824789914259</v>
      </c>
      <c r="C37" s="45">
        <f>(Exp!C39+Imp!J30)/($P$41)*100</f>
        <v>0.3213534401747001</v>
      </c>
      <c r="D37" s="45">
        <f>(Exp!D39+Imp!J31)/($P$41)*100</f>
        <v>1.5987097889607265</v>
      </c>
      <c r="E37" s="45">
        <f>(Exp!E39+Imp!J32)/($P$41)*100</f>
        <v>0.8718929381759521</v>
      </c>
      <c r="F37" s="45">
        <f>(Exp!F39+Imp!J33)/($P$41)*100</f>
        <v>0.9179840533223415</v>
      </c>
      <c r="G37" s="45">
        <f>(Imp!J34*2)/($P$41)*100</f>
        <v>0.0009176971786420994</v>
      </c>
      <c r="H37" s="45">
        <f>(Exp!G39+Imp!J35)/($P$41)*100</f>
        <v>1.2932273762583644</v>
      </c>
      <c r="I37" s="45">
        <f>(Exp!H39+Imp!J36)/($P$41)*100</f>
        <v>0.9987992233460457</v>
      </c>
      <c r="J37" s="45">
        <f>+Imp!J37*2/Part!$P$41*100</f>
        <v>0.007941167965706824</v>
      </c>
      <c r="K37" s="45">
        <f>(Exp!I39+Imp!J38)/($P$41)*100</f>
        <v>0.09530991138824954</v>
      </c>
      <c r="L37" s="44" t="s">
        <v>43</v>
      </c>
      <c r="M37" s="45">
        <f>(Exp!K39+Imp!J40)/($P$41)*100</f>
        <v>0.08893430088063037</v>
      </c>
      <c r="N37" s="45">
        <f>+(Imp!J41*2)/($P$41)*100</f>
        <v>0.1247291739534559</v>
      </c>
      <c r="O37" s="46">
        <f t="shared" si="2"/>
        <v>7.51038155059624</v>
      </c>
    </row>
    <row r="38" spans="1:15" ht="14.25" customHeight="1">
      <c r="A38" s="43" t="s">
        <v>11</v>
      </c>
      <c r="B38" s="45">
        <f>(Exp!B40+Imp!K29)/($P$41)*100</f>
        <v>1.1824924608256226</v>
      </c>
      <c r="C38" s="45">
        <f>(Exp!C40+Imp!K30)/($P$41)*100</f>
        <v>0.0033074280320994154</v>
      </c>
      <c r="D38" s="45">
        <f>(Exp!D40+Imp!K31)/($P$41)*100</f>
        <v>1.3197256369857204</v>
      </c>
      <c r="E38" s="45">
        <f>(Exp!E40+Imp!K32)/($P$41)*100</f>
        <v>0.09568500141813667</v>
      </c>
      <c r="F38" s="45">
        <f>(Exp!F40+Imp!K33)/($P$41)*100</f>
        <v>0.018905992865713053</v>
      </c>
      <c r="G38" s="45">
        <f>(Imp!K34*2)/($P$41)*100</f>
        <v>0.0008178199303898783</v>
      </c>
      <c r="H38" s="45">
        <f>(Exp!G40+Imp!K35)/($P$41)*100</f>
        <v>0.010098799864152675</v>
      </c>
      <c r="I38" s="45">
        <f>(Exp!H40+Imp!K36)/($P$41)*100</f>
        <v>0.1828224727838169</v>
      </c>
      <c r="J38" s="45">
        <f>+Imp!K37*2/Part!$P$41*100</f>
        <v>0.001688517284675918</v>
      </c>
      <c r="K38" s="45">
        <f>(Exp!I40+Imp!K38)/($P$41)*100</f>
        <v>0.051393099238106706</v>
      </c>
      <c r="L38" s="45">
        <f>(Exp!J40+Imp!K39)/($P$41)*100</f>
        <v>0.016750951653063985</v>
      </c>
      <c r="M38" s="44" t="s">
        <v>43</v>
      </c>
      <c r="N38" s="45">
        <f>+(Imp!K41*2)/($P$41)*100</f>
        <v>0.5126490752556253</v>
      </c>
      <c r="O38" s="46">
        <f t="shared" si="2"/>
        <v>3.396337256137124</v>
      </c>
    </row>
    <row r="39" spans="1:16" ht="14.25" customHeight="1">
      <c r="A39" s="43" t="s">
        <v>12</v>
      </c>
      <c r="B39" s="45">
        <f>(Exp!B41*2)/($P$41)*100</f>
        <v>1.404350633608282</v>
      </c>
      <c r="C39" s="45">
        <f>(Exp!C41*2)/($P$41)*100</f>
        <v>0.1836050612170506</v>
      </c>
      <c r="D39" s="45">
        <f>(Exp!D41*2)/($P$41)*100</f>
        <v>3.093095633908674</v>
      </c>
      <c r="E39" s="45">
        <f>(Exp!E41*2)/($P$41)*100</f>
        <v>0.4397165950288967</v>
      </c>
      <c r="F39" s="45">
        <f>(Exp!F41*2)/($P$41)*100</f>
        <v>1.591278198653378</v>
      </c>
      <c r="G39" s="48" t="s">
        <v>47</v>
      </c>
      <c r="H39" s="45">
        <f>(Exp!G41*2)/($P$41)*100</f>
        <v>0.5977871672285958</v>
      </c>
      <c r="I39" s="45">
        <f>(Exp!H41*2)/($P$41)*100</f>
        <v>1.3409051449296125</v>
      </c>
      <c r="J39" s="48" t="s">
        <v>47</v>
      </c>
      <c r="K39" s="45">
        <f>(Exp!I41*2)/($P$41)*100</f>
        <v>0.040087544036298335</v>
      </c>
      <c r="L39" s="45">
        <f>(Exp!J41*2)/($P$41)*100</f>
        <v>0.7560615363205465</v>
      </c>
      <c r="M39" s="45">
        <f>(Exp!K41*2)/($P$41)*100</f>
        <v>0.2664292075779275</v>
      </c>
      <c r="N39" s="44" t="s">
        <v>43</v>
      </c>
      <c r="O39" s="46">
        <f t="shared" si="2"/>
        <v>9.71331672250926</v>
      </c>
      <c r="P39" s="33"/>
    </row>
    <row r="40" spans="1:15" ht="4.5" customHeight="1">
      <c r="A40" s="43"/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50"/>
    </row>
    <row r="41" spans="1:16" ht="14.25" customHeight="1">
      <c r="A41" s="51" t="s">
        <v>6</v>
      </c>
      <c r="B41" s="46">
        <f aca="true" t="shared" si="3" ref="B41:N41">SUM(B27:B40)</f>
        <v>20.49699674242266</v>
      </c>
      <c r="C41" s="46">
        <f t="shared" si="3"/>
        <v>4.092320204484437</v>
      </c>
      <c r="D41" s="46">
        <f t="shared" si="3"/>
        <v>27.94307118074594</v>
      </c>
      <c r="E41" s="46">
        <f t="shared" si="3"/>
        <v>6.944480966541389</v>
      </c>
      <c r="F41" s="46">
        <f t="shared" si="3"/>
        <v>8.388815055564907</v>
      </c>
      <c r="G41" s="46">
        <f t="shared" si="3"/>
        <v>0.11038625328203944</v>
      </c>
      <c r="H41" s="46">
        <f t="shared" si="3"/>
        <v>4.828090348642428</v>
      </c>
      <c r="I41" s="46">
        <f t="shared" si="3"/>
        <v>14.584079802919279</v>
      </c>
      <c r="J41" s="46">
        <f t="shared" si="3"/>
        <v>1.100949316890514</v>
      </c>
      <c r="K41" s="46">
        <f t="shared" si="3"/>
        <v>1.8952353274968685</v>
      </c>
      <c r="L41" s="46">
        <f t="shared" si="3"/>
        <v>4.968434138635763</v>
      </c>
      <c r="M41" s="46">
        <f t="shared" si="3"/>
        <v>2.1896000893554226</v>
      </c>
      <c r="N41" s="46">
        <f t="shared" si="3"/>
        <v>2.4575405730183513</v>
      </c>
      <c r="O41" s="52">
        <f>SUM(B41:N41)</f>
        <v>100</v>
      </c>
      <c r="P41" s="18">
        <f>+Exp!L42+Imp!L42+Imp!L41+Imp!L34+Imp!L37+Exp!L34+Exp!L37+Exp!L41</f>
        <v>242228.13927457173</v>
      </c>
    </row>
    <row r="42" spans="1:15" ht="9.75" customHeight="1" hidden="1">
      <c r="A42" s="35"/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</row>
    <row r="43" spans="1:15" s="21" customFormat="1" ht="12.75" hidden="1">
      <c r="A43" s="53"/>
      <c r="B43" s="42" t="s">
        <v>55</v>
      </c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54"/>
    </row>
    <row r="44" spans="1:16" ht="14.25" customHeight="1" hidden="1">
      <c r="A44" s="43" t="s">
        <v>1</v>
      </c>
      <c r="B44" s="83" t="s">
        <v>43</v>
      </c>
      <c r="C44" s="84">
        <f>(C10*$P$24-C27*$P$41)/($P$24-$P$41)</f>
        <v>36.32194081508114</v>
      </c>
      <c r="D44" s="84">
        <f>(D10*$P$24-D27*$P$41)/($P$24-$P$41)</f>
        <v>106.60659791163702</v>
      </c>
      <c r="E44" s="84">
        <f>(E10*$P$24-E27*$P$41)/($P$24-$P$41)</f>
        <v>-1.4975949144564906</v>
      </c>
      <c r="F44" s="84">
        <f>(F10*$P$24-F27*$P$41)/($P$24-$P$41)</f>
        <v>9.961597311898403</v>
      </c>
      <c r="G44" s="84">
        <f>(G10*$P$24-G27*$P$41)/($P$24-$P$41)</f>
        <v>0.06155283489557282</v>
      </c>
      <c r="H44" s="84">
        <f>(H10*$P$24-H27*$P$41)/($P$24-$P$41)</f>
        <v>0.6378003943643854</v>
      </c>
      <c r="I44" s="84">
        <f>(I10*$P$24-I27*$P$41)/($P$24-$P$41)</f>
        <v>-0.9407809644342718</v>
      </c>
      <c r="J44" s="84">
        <f>(J10*$P$24-J27*$P$41)/($P$24-$P$41)</f>
        <v>0.13906831876853362</v>
      </c>
      <c r="K44" s="84">
        <f>(K10*$P$24-K27*$P$41)/($P$24-$P$41)</f>
        <v>12.587947771672173</v>
      </c>
      <c r="L44" s="84">
        <f>(L10*$P$24-L27*$P$41)/($P$24-$P$41)</f>
        <v>-1.6187022907850088</v>
      </c>
      <c r="M44" s="84">
        <f>(M10*$P$24-M27*$P$41)/($P$24-$P$41)</f>
        <v>-0.05102398026360443</v>
      </c>
      <c r="N44" s="84">
        <f>(N10*$P$24-N27*$P$41)/($P$24-$P$41)</f>
        <v>1.346924043034606</v>
      </c>
      <c r="O44" s="85">
        <f aca="true" t="shared" si="4" ref="O44:O56">SUM(B44:N44)</f>
        <v>163.55532725141242</v>
      </c>
      <c r="P44" s="31">
        <f>+D44+B46+B47+D47+D51+D56+E46+I46+I48</f>
        <v>17.525584998287457</v>
      </c>
    </row>
    <row r="45" spans="1:16" ht="14.25" customHeight="1" hidden="1">
      <c r="A45" s="43" t="s">
        <v>2</v>
      </c>
      <c r="B45" s="84">
        <f>(B11*$P$24-B28*$P$41)/($P$24-$P$41)</f>
        <v>-5.090369345392928</v>
      </c>
      <c r="C45" s="83" t="s">
        <v>43</v>
      </c>
      <c r="D45" s="84">
        <f>(D11*$P$24-D28*$P$41)/($P$24-$P$41)</f>
        <v>4.714195277239469</v>
      </c>
      <c r="E45" s="84">
        <f>(E11*$P$24-E28*$P$41)/($P$24-$P$41)</f>
        <v>7.394402498077777</v>
      </c>
      <c r="F45" s="84">
        <f>(F11*$P$24-F28*$P$41)/($P$24-$P$41)</f>
        <v>1.4638372239784105</v>
      </c>
      <c r="G45" s="84">
        <f>(G11*$P$24-G28*$P$41)/($P$24-$P$41)</f>
        <v>-0.15272745648920277</v>
      </c>
      <c r="H45" s="84">
        <f>(H11*$P$24-H28*$P$41)/($P$24-$P$41)</f>
        <v>0.008413734404779922</v>
      </c>
      <c r="I45" s="84">
        <f>(I11*$P$24-I28*$P$41)/($P$24-$P$41)</f>
        <v>2.452183263457129</v>
      </c>
      <c r="J45" s="84">
        <f>(J11*$P$24-J28*$P$41)/($P$24-$P$41)</f>
        <v>-0.015836279676949578</v>
      </c>
      <c r="K45" s="84">
        <f>(K11*$P$24-K28*$P$41)/($P$24-$P$41)</f>
        <v>-0.12001016974671112</v>
      </c>
      <c r="L45" s="84">
        <f>(L11*$P$24-L28*$P$41)/($P$24-$P$41)</f>
        <v>-0.21697447904820422</v>
      </c>
      <c r="M45" s="84">
        <f>(M11*$P$24-M28*$P$41)/($P$24-$P$41)</f>
        <v>-0.09542001951819755</v>
      </c>
      <c r="N45" s="84">
        <f>(N11*$P$24-N28*$P$41)/($P$24-$P$41)</f>
        <v>-25.45701329117589</v>
      </c>
      <c r="O45" s="85">
        <f t="shared" si="4"/>
        <v>-15.115319043890521</v>
      </c>
      <c r="P45" s="31">
        <f>D44+B46+B47+D47+D51+D56+E46+F56+I46+I48</f>
        <v>-1.8997357527975964</v>
      </c>
    </row>
    <row r="46" spans="1:16" ht="14.25" customHeight="1" hidden="1">
      <c r="A46" s="43" t="s">
        <v>3</v>
      </c>
      <c r="B46" s="84">
        <f>(B12*$P$24-B29*$P$41)/($P$24-$P$41)</f>
        <v>95.59917339823079</v>
      </c>
      <c r="C46" s="84">
        <f>(C12*$P$24-C29*$P$41)/($P$24-$P$41)</f>
        <v>35.42026791379815</v>
      </c>
      <c r="D46" s="83" t="s">
        <v>43</v>
      </c>
      <c r="E46" s="84">
        <f>(E12*$P$24-E29*$P$41)/($P$24-$P$41)</f>
        <v>0.6111645119019676</v>
      </c>
      <c r="F46" s="84">
        <f>(F12*$P$24-F29*$P$41)/($P$24-$P$41)</f>
        <v>9.03638786766581</v>
      </c>
      <c r="G46" s="84">
        <f>(G12*$P$24-G29*$P$41)/($P$24-$P$41)</f>
        <v>-0.7885190406343648</v>
      </c>
      <c r="H46" s="84">
        <f>(H12*$P$24-H29*$P$41)/($P$24-$P$41)</f>
        <v>-0.5986201631799095</v>
      </c>
      <c r="I46" s="84">
        <f>(I12*$P$24-I29*$P$41)/($P$24-$P$41)</f>
        <v>-24.338365405815157</v>
      </c>
      <c r="J46" s="84">
        <f>(J12*$P$24-J29*$P$41)/($P$24-$P$41)</f>
        <v>-0.22556281618740193</v>
      </c>
      <c r="K46" s="84">
        <f>(K12*$P$24-K29*$P$41)/($P$24-$P$41)</f>
        <v>7.7826361582268655</v>
      </c>
      <c r="L46" s="84">
        <f>(L12*$P$24-L29*$P$41)/($P$24-$P$41)</f>
        <v>27.770993836828588</v>
      </c>
      <c r="M46" s="84">
        <f>(M12*$P$24-M29*$P$41)/($P$24-$P$41)</f>
        <v>0.6363480675067148</v>
      </c>
      <c r="N46" s="84">
        <f>(N12*$P$24-N29*$P$41)/($P$24-$P$41)</f>
        <v>6.718392868523403</v>
      </c>
      <c r="O46" s="85">
        <f t="shared" si="4"/>
        <v>157.62429719686546</v>
      </c>
      <c r="P46" s="31">
        <f>B46+C46+D44+D47+D51+D53+E46+F50+I44+I46+I48+L47</f>
        <v>152.13827955757188</v>
      </c>
    </row>
    <row r="47" spans="1:15" ht="14.25" customHeight="1" hidden="1">
      <c r="A47" s="43" t="s">
        <v>4</v>
      </c>
      <c r="B47" s="84">
        <f>(B13*$P$24-B30*$P$41)/($P$24-$P$41)</f>
        <v>-37.04974741235884</v>
      </c>
      <c r="C47" s="84">
        <f>(C13*$P$24-C30*$P$41)/($P$24-$P$41)</f>
        <v>-4.8036901334917665</v>
      </c>
      <c r="D47" s="84">
        <f>(D13*$P$24-D30*$P$41)/($P$24-$P$41)</f>
        <v>-4.9981027668186</v>
      </c>
      <c r="E47" s="83" t="s">
        <v>43</v>
      </c>
      <c r="F47" s="84">
        <f>(F13*$P$24-F30*$P$41)/($P$24-$P$41)</f>
        <v>-21.881073388857864</v>
      </c>
      <c r="G47" s="84">
        <f>(G13*$P$24-G30*$P$41)/($P$24-$P$41)</f>
        <v>-0.06694884015530467</v>
      </c>
      <c r="H47" s="84">
        <f>(H13*$P$24-H30*$P$41)/($P$24-$P$41)</f>
        <v>22.871810161238436</v>
      </c>
      <c r="I47" s="84">
        <f>(I13*$P$24-I30*$P$41)/($P$24-$P$41)</f>
        <v>-4.0513050565195305</v>
      </c>
      <c r="J47" s="84">
        <f>(J13*$P$24-J30*$P$41)/($P$24-$P$41)</f>
        <v>-0.9270113652966047</v>
      </c>
      <c r="K47" s="84">
        <f>(K13*$P$24-K30*$P$41)/($P$24-$P$41)</f>
        <v>15.253669967948117</v>
      </c>
      <c r="L47" s="84">
        <f>(L13*$P$24-L30*$P$41)/($P$24-$P$41)</f>
        <v>-19.33392288556957</v>
      </c>
      <c r="M47" s="84">
        <f>(M13*$P$24-M30*$P$41)/($P$24-$P$41)</f>
        <v>-2.6782287288507085</v>
      </c>
      <c r="N47" s="84">
        <f>(N13*$P$24-N30*$P$41)/($P$24-$P$41)</f>
        <v>-2.7246299904568456</v>
      </c>
      <c r="O47" s="85">
        <f t="shared" si="4"/>
        <v>-60.38918043918909</v>
      </c>
    </row>
    <row r="48" spans="1:15" ht="14.25" customHeight="1" hidden="1">
      <c r="A48" s="47" t="s">
        <v>5</v>
      </c>
      <c r="B48" s="84">
        <f>(B14*$P$24-B31*$P$41)/($P$24-$P$41)</f>
        <v>-17.139110977143943</v>
      </c>
      <c r="C48" s="84">
        <f>(C14*$P$24-C31*$P$41)/($P$24-$P$41)</f>
        <v>12.249535793338474</v>
      </c>
      <c r="D48" s="84">
        <f>(D14*$P$24-D31*$P$41)/($P$24-$P$41)</f>
        <v>-13.222728125311477</v>
      </c>
      <c r="E48" s="84">
        <f>(E14*$P$24-E31*$P$41)/($P$24-$P$41)</f>
        <v>-1.6010739639027387</v>
      </c>
      <c r="F48" s="83" t="s">
        <v>43</v>
      </c>
      <c r="G48" s="84">
        <f>(G14*$P$24-G31*$P$41)/($P$24-$P$41)</f>
        <v>0.5691820704802281</v>
      </c>
      <c r="H48" s="84">
        <f>(H14*$P$24-H31*$P$41)/($P$24-$P$41)</f>
        <v>-9.78799176260569</v>
      </c>
      <c r="I48" s="84">
        <f>(I14*$P$24-I31*$P$41)/($P$24-$P$41)</f>
        <v>-62.62234069157827</v>
      </c>
      <c r="J48" s="84">
        <f>(J14*$P$24-J31*$P$41)/($P$24-$P$41)</f>
        <v>-0.8415533590053926</v>
      </c>
      <c r="K48" s="84">
        <f>(K14*$P$24-K31*$P$41)/($P$24-$P$41)</f>
        <v>0.5345658527435502</v>
      </c>
      <c r="L48" s="84">
        <f>(L14*$P$24-L31*$P$41)/($P$24-$P$41)</f>
        <v>-6.564455198774045</v>
      </c>
      <c r="M48" s="84">
        <f>(M14*$P$24-M31*$P$41)/($P$24-$P$41)</f>
        <v>-1.1846807697011172</v>
      </c>
      <c r="N48" s="84">
        <f>(N14*$P$24-N31*$P$41)/($P$24-$P$41)</f>
        <v>-6.837473797726895</v>
      </c>
      <c r="O48" s="85">
        <f t="shared" si="4"/>
        <v>-106.44812492918732</v>
      </c>
    </row>
    <row r="49" spans="1:15" ht="14.25" customHeight="1" hidden="1">
      <c r="A49" s="43" t="s">
        <v>7</v>
      </c>
      <c r="B49" s="84">
        <f>(B15*$P$24-B32*$P$41)/($P$24-$P$41)</f>
        <v>13.564751323008421</v>
      </c>
      <c r="C49" s="84">
        <f>(C15*$P$24-C32*$P$41)/($P$24-$P$41)</f>
        <v>0.19862019864801475</v>
      </c>
      <c r="D49" s="84">
        <f>(D15*$P$24-D32*$P$41)/($P$24-$P$41)</f>
        <v>-2.688322591369696</v>
      </c>
      <c r="E49" s="84">
        <f>(E15*$P$24-E32*$P$41)/($P$24-$P$41)</f>
        <v>0.0562126088920468</v>
      </c>
      <c r="F49" s="84">
        <f>(F15*$P$24-F32*$P$41)/($P$24-$P$41)</f>
        <v>0.3392022764973927</v>
      </c>
      <c r="G49" s="83" t="s">
        <v>43</v>
      </c>
      <c r="H49" s="84">
        <f>(H15*$P$24-H32*$P$41)/($P$24-$P$41)</f>
        <v>-0.11036779819286291</v>
      </c>
      <c r="I49" s="84">
        <f>(I15*$P$24-I32*$P$41)/($P$24-$P$41)</f>
        <v>0.3676666589885194</v>
      </c>
      <c r="J49" s="86" t="s">
        <v>47</v>
      </c>
      <c r="K49" s="84">
        <f>(K15*$P$24-K32*$P$41)/($P$24-$P$41)</f>
        <v>-0.01659978494224797</v>
      </c>
      <c r="L49" s="84">
        <f>(L15*$P$24-L32*$P$41)/($P$24-$P$41)</f>
        <v>0.025455465947810122</v>
      </c>
      <c r="M49" s="84">
        <f>(M15*$P$24-M32*$P$41)/($P$24-$P$41)</f>
        <v>-1.8312655868957282</v>
      </c>
      <c r="N49" s="86" t="s">
        <v>47</v>
      </c>
      <c r="O49" s="85">
        <f t="shared" si="4"/>
        <v>9.90535277058167</v>
      </c>
    </row>
    <row r="50" spans="1:15" ht="14.25" customHeight="1" hidden="1">
      <c r="A50" s="43" t="s">
        <v>16</v>
      </c>
      <c r="B50" s="84">
        <f>(B16*$P$24-B33*$P$41)/($P$24-$P$41)</f>
        <v>-5.421552172239048</v>
      </c>
      <c r="C50" s="84">
        <f>(C16*$P$24-C33*$P$41)/($P$24-$P$41)</f>
        <v>-1.027370551500665</v>
      </c>
      <c r="D50" s="84">
        <f>(D16*$P$24-D33*$P$41)/($P$24-$P$41)</f>
        <v>-4.61262311236343</v>
      </c>
      <c r="E50" s="84">
        <f>(E16*$P$24-E33*$P$41)/($P$24-$P$41)</f>
        <v>0.3521546247627574</v>
      </c>
      <c r="F50" s="84">
        <f>(F16*$P$24-F33*$P$41)/($P$24-$P$41)</f>
        <v>4.136889717356077</v>
      </c>
      <c r="G50" s="84">
        <f>(G16*$P$24-G33*$P$41)/($P$24-$P$41)</f>
        <v>-0.1400625139425663</v>
      </c>
      <c r="H50" s="83" t="s">
        <v>43</v>
      </c>
      <c r="I50" s="84">
        <f>(I16*$P$24-I33*$P$41)/($P$24-$P$41)</f>
        <v>3.5803921524621503</v>
      </c>
      <c r="J50" s="84">
        <f>(J16*$P$24-J33*$P$41)/($P$24-$P$41)</f>
        <v>13.891489363250374</v>
      </c>
      <c r="K50" s="84">
        <f>(K16*$P$24-K33*$P$41)/($P$24-$P$41)</f>
        <v>0.2924065721560058</v>
      </c>
      <c r="L50" s="84">
        <f>(L16*$P$24-L33*$P$41)/($P$24-$P$41)</f>
        <v>3.56082958091295</v>
      </c>
      <c r="M50" s="84">
        <f>(M16*$P$24-M33*$P$41)/($P$24-$P$41)</f>
        <v>-0.5846069635147251</v>
      </c>
      <c r="N50" s="84">
        <f>(N16*$P$24-N33*$P$41)/($P$24-$P$41)</f>
        <v>-12.196656147866655</v>
      </c>
      <c r="O50" s="85">
        <f t="shared" si="4"/>
        <v>1.8312905494732252</v>
      </c>
    </row>
    <row r="51" spans="1:15" ht="14.25" customHeight="1" hidden="1">
      <c r="A51" s="43" t="s">
        <v>8</v>
      </c>
      <c r="B51" s="84">
        <f>(B17*$P$24-B34*$P$41)/($P$24-$P$41)</f>
        <v>9.729258108184949</v>
      </c>
      <c r="C51" s="84">
        <f>(C17*$P$24-C34*$P$41)/($P$24-$P$41)</f>
        <v>-0.7738100338046168</v>
      </c>
      <c r="D51" s="84">
        <f>(D17*$P$24-D34*$P$41)/($P$24-$P$41)</f>
        <v>-10.793927583982226</v>
      </c>
      <c r="E51" s="84">
        <f>(E17*$P$24-E34*$P$41)/($P$24-$P$41)</f>
        <v>-0.2857829182301896</v>
      </c>
      <c r="F51" s="84">
        <f>(F17*$P$24-F34*$P$41)/($P$24-$P$41)</f>
        <v>1.1535671947205737</v>
      </c>
      <c r="G51" s="84">
        <f>(G17*$P$24-G34*$P$41)/($P$24-$P$41)</f>
        <v>-0.22302816009305215</v>
      </c>
      <c r="H51" s="84">
        <f>(H17*$P$24-H34*$P$41)/($P$24-$P$41)</f>
        <v>-0.17533091321055136</v>
      </c>
      <c r="I51" s="83" t="s">
        <v>43</v>
      </c>
      <c r="J51" s="84">
        <f>(J17*$P$24-J34*$P$41)/($P$24-$P$41)</f>
        <v>-2.5609434511766462</v>
      </c>
      <c r="K51" s="84">
        <f>(K17*$P$24-K34*$P$41)/($P$24-$P$41)</f>
        <v>13.93691057599638</v>
      </c>
      <c r="L51" s="84">
        <f>(L17*$P$24-L34*$P$41)/($P$24-$P$41)</f>
        <v>7.194758928831794</v>
      </c>
      <c r="M51" s="84">
        <f>(M17*$P$24-M34*$P$41)/($P$24-$P$41)</f>
        <v>-0.09550010748309083</v>
      </c>
      <c r="N51" s="84">
        <f>(N17*$P$24-N34*$P$41)/($P$24-$P$41)</f>
        <v>-5.624029519179967</v>
      </c>
      <c r="O51" s="85">
        <f t="shared" si="4"/>
        <v>11.482142120573357</v>
      </c>
    </row>
    <row r="52" spans="1:15" ht="14.25" customHeight="1" hidden="1">
      <c r="A52" s="80" t="s">
        <v>64</v>
      </c>
      <c r="B52" s="84">
        <f>(B18*$P$24-B35*$P$41)/($P$24-$P$41)</f>
        <v>-1.85014423501783</v>
      </c>
      <c r="C52" s="84">
        <f>(C18*$P$24-C35*$P$41)/($P$24-$P$41)</f>
        <v>-0.28201526768948504</v>
      </c>
      <c r="D52" s="84">
        <f>(D18*$P$24-D35*$P$41)/($P$24-$P$41)</f>
        <v>121.9485910558594</v>
      </c>
      <c r="E52" s="84">
        <f>(E18*$P$24-E35*$P$41)/($P$24-$P$41)</f>
        <v>-0.022454193965300757</v>
      </c>
      <c r="F52" s="84">
        <f>(F18*$P$24-F35*$P$41)/($P$24-$P$41)</f>
        <v>19.63343414776123</v>
      </c>
      <c r="G52" s="86" t="s">
        <v>47</v>
      </c>
      <c r="H52" s="84">
        <f>(H18*$P$24-H35*$P$41)/($P$24-$P$41)</f>
        <v>-36.822730206839026</v>
      </c>
      <c r="I52" s="84">
        <f>(I18*$P$24-I35*$P$41)/($P$24-$P$41)</f>
        <v>-2.9093278538070613</v>
      </c>
      <c r="J52" s="83" t="s">
        <v>43</v>
      </c>
      <c r="K52" s="84">
        <f>(K18*$P$24-K35*$P$41)/($P$24-$P$41)</f>
        <v>-0.08669269867554341</v>
      </c>
      <c r="L52" s="84">
        <f>(L18*$P$24-L35*$P$41)/($P$24-$P$41)</f>
        <v>7.019145601320935</v>
      </c>
      <c r="M52" s="84">
        <f>(M18*$P$24-M35*$P$41)/($P$24-$P$41)</f>
        <v>-0.07957964401838613</v>
      </c>
      <c r="N52" s="86" t="s">
        <v>47</v>
      </c>
      <c r="O52" s="85">
        <f t="shared" si="4"/>
        <v>106.54822670492892</v>
      </c>
    </row>
    <row r="53" spans="1:15" ht="14.25" customHeight="1" hidden="1">
      <c r="A53" s="43" t="s">
        <v>9</v>
      </c>
      <c r="B53" s="84">
        <f>(B19*$P$24-B36*$P$41)/($P$24-$P$41)</f>
        <v>-5.152435512693381</v>
      </c>
      <c r="C53" s="84">
        <f>(C19*$P$24-C36*$P$41)/($P$24-$P$41)</f>
        <v>0.19221397696428721</v>
      </c>
      <c r="D53" s="84">
        <f>(D19*$P$24-D36*$P$41)/($P$24-$P$41)</f>
        <v>32.79162640284596</v>
      </c>
      <c r="E53" s="84">
        <f>(E19*$P$24-E36*$P$41)/($P$24-$P$41)</f>
        <v>0.18796742160405971</v>
      </c>
      <c r="F53" s="84">
        <f>(F19*$P$24-F36*$P$41)/($P$24-$P$41)</f>
        <v>-0.0434715915555262</v>
      </c>
      <c r="G53" s="84">
        <f>(G19*$P$24-G36*$P$41)/($P$24-$P$41)</f>
        <v>-0.005169001591573372</v>
      </c>
      <c r="H53" s="84">
        <f>(H19*$P$24-H36*$P$41)/($P$24-$P$41)</f>
        <v>0.004437531512231503</v>
      </c>
      <c r="I53" s="84">
        <f>(I19*$P$24-I36*$P$41)/($P$24-$P$41)</f>
        <v>0.47084570294097566</v>
      </c>
      <c r="J53" s="84">
        <f>(J19*$P$24-J36*$P$41)/($P$24-$P$41)</f>
        <v>0.09100494189201325</v>
      </c>
      <c r="K53" s="83" t="s">
        <v>43</v>
      </c>
      <c r="L53" s="84">
        <f>(L19*$P$24-L36*$P$41)/($P$24-$P$41)</f>
        <v>-0.05044899987346273</v>
      </c>
      <c r="M53" s="84">
        <f>(M19*$P$24-M36*$P$41)/($P$24-$P$41)</f>
        <v>-0.6244471422032127</v>
      </c>
      <c r="N53" s="84">
        <f>(N19*$P$24-N36*$P$41)/($P$24-$P$41)</f>
        <v>-9.634185320460942</v>
      </c>
      <c r="O53" s="85">
        <f t="shared" si="4"/>
        <v>18.22793840938143</v>
      </c>
    </row>
    <row r="54" spans="1:15" ht="14.25" customHeight="1" hidden="1">
      <c r="A54" s="43" t="s">
        <v>10</v>
      </c>
      <c r="B54" s="84">
        <f>(B20*$P$24-B37*$P$41)/($P$24-$P$41)</f>
        <v>-11.702575845671692</v>
      </c>
      <c r="C54" s="84">
        <f>(C20*$P$24-C37*$P$41)/($P$24-$P$41)</f>
        <v>3.3496461016987347</v>
      </c>
      <c r="D54" s="84">
        <f>(D20*$P$24-D37*$P$41)/($P$24-$P$41)</f>
        <v>-16.788145114134775</v>
      </c>
      <c r="E54" s="84">
        <f>(E20*$P$24-E37*$P$41)/($P$24-$P$41)</f>
        <v>6.043588672184509</v>
      </c>
      <c r="F54" s="84">
        <f>(F20*$P$24-F37*$P$41)/($P$24-$P$41)</f>
        <v>-3.930236088770025</v>
      </c>
      <c r="G54" s="84">
        <f>(G20*$P$24-G37*$P$41)/($P$24-$P$41)</f>
        <v>0.036285794352942276</v>
      </c>
      <c r="H54" s="84">
        <f>(H20*$P$24-H37*$P$41)/($P$24-$P$41)</f>
        <v>-1.8741148020766623</v>
      </c>
      <c r="I54" s="84">
        <f>(I20*$P$24-I37*$P$41)/($P$24-$P$41)</f>
        <v>11.91387233851255</v>
      </c>
      <c r="J54" s="84">
        <f>(J20*$P$24-J37*$P$41)/($P$24-$P$41)</f>
        <v>3.539679819492991</v>
      </c>
      <c r="K54" s="84">
        <f>(K20*$P$24-K37*$P$41)/($P$24-$P$41)</f>
        <v>2.6789700029403227</v>
      </c>
      <c r="L54" s="83" t="s">
        <v>43</v>
      </c>
      <c r="M54" s="84">
        <f>(M20*$P$24-M37*$P$41)/($P$24-$P$41)</f>
        <v>0.07821926033858059</v>
      </c>
      <c r="N54" s="84">
        <f>(N20*$P$24-N37*$P$41)/($P$24-$P$41)</f>
        <v>-5.416166157861511</v>
      </c>
      <c r="O54" s="85">
        <f t="shared" si="4"/>
        <v>-12.070976018994035</v>
      </c>
    </row>
    <row r="55" spans="1:15" ht="14.25" customHeight="1" hidden="1">
      <c r="A55" s="43" t="s">
        <v>11</v>
      </c>
      <c r="B55" s="84">
        <f>(B21*$P$24-B38*$P$41)/($P$24-$P$41)</f>
        <v>-5.314469765580961</v>
      </c>
      <c r="C55" s="84">
        <f>(C21*$P$24-C38*$P$41)/($P$24-$P$41)</f>
        <v>0.20385655202387093</v>
      </c>
      <c r="D55" s="84">
        <f>(D21*$P$24-D38*$P$41)/($P$24-$P$41)</f>
        <v>-13.553875292534102</v>
      </c>
      <c r="E55" s="84">
        <f>(E21*$P$24-E38*$P$41)/($P$24-$P$41)</f>
        <v>0.9704647929748338</v>
      </c>
      <c r="F55" s="84">
        <f>(F21*$P$24-F38*$P$41)/($P$24-$P$41)</f>
        <v>-0.722870754060711</v>
      </c>
      <c r="G55" s="84">
        <f>(G21*$P$24-G38*$P$41)/($P$24-$P$41)</f>
        <v>-0.022121466138119543</v>
      </c>
      <c r="H55" s="84">
        <f>(H21*$P$24-H38*$P$41)/($P$24-$P$41)</f>
        <v>0.2974830886045606</v>
      </c>
      <c r="I55" s="84">
        <f>(I21*$P$24-I38*$P$41)/($P$24-$P$41)</f>
        <v>-0.21694246214716972</v>
      </c>
      <c r="J55" s="84">
        <f>(J21*$P$24-J38*$P$41)/($P$24-$P$41)</f>
        <v>-0.023441930172959806</v>
      </c>
      <c r="K55" s="84">
        <f>(K21*$P$24-K38*$P$41)/($P$24-$P$41)</f>
        <v>7.618786092487531</v>
      </c>
      <c r="L55" s="84">
        <f>(L21*$P$24-L38*$P$41)/($P$24-$P$41)</f>
        <v>0.28032688978349035</v>
      </c>
      <c r="M55" s="83" t="s">
        <v>43</v>
      </c>
      <c r="N55" s="84">
        <f>(N21*$P$24-N38*$P$41)/($P$24-$P$41)</f>
        <v>-9.471942755485392</v>
      </c>
      <c r="O55" s="85">
        <f t="shared" si="4"/>
        <v>-19.95474701024513</v>
      </c>
    </row>
    <row r="56" spans="1:15" ht="14.25" customHeight="1" hidden="1">
      <c r="A56" s="43" t="s">
        <v>12</v>
      </c>
      <c r="B56" s="84">
        <f>(B22*$P$24-B39*$P$41)/($P$24-$P$41)</f>
        <v>-9.991842690187115</v>
      </c>
      <c r="C56" s="84">
        <f>(C22*$P$24-C39*$P$41)/($P$24-$P$41)</f>
        <v>-9.684206290023194</v>
      </c>
      <c r="D56" s="84">
        <f>(D22*$P$24-D39*$P$41)/($P$24-$P$41)</f>
        <v>-45.48886696292926</v>
      </c>
      <c r="E56" s="84">
        <f>(E22*$P$24-E39*$P$41)/($P$24-$P$41)</f>
        <v>-13.580628170348035</v>
      </c>
      <c r="F56" s="84">
        <f>(F22*$P$24-F39*$P$41)/($P$24-$P$41)</f>
        <v>-19.42532075108506</v>
      </c>
      <c r="G56" s="86" t="s">
        <v>47</v>
      </c>
      <c r="H56" s="84">
        <f>(H22*$P$24-H39*$P$41)/($P$24-$P$41)</f>
        <v>-27.54127800253848</v>
      </c>
      <c r="I56" s="84">
        <f>(I22*$P$24-I39*$P$41)/($P$24-$P$41)</f>
        <v>1.2460304996892508</v>
      </c>
      <c r="J56" s="86" t="s">
        <v>47</v>
      </c>
      <c r="K56" s="84">
        <f>(K22*$P$24-K39*$P$41)/($P$24-$P$41)</f>
        <v>-0.6782628536144927</v>
      </c>
      <c r="L56" s="84">
        <f>(L22*$P$24-L39*$P$41)/($P$24-$P$41)</f>
        <v>-26.946864541996657</v>
      </c>
      <c r="M56" s="84">
        <f>(M22*$P$24-M39*$P$41)/($P$24-$P$41)</f>
        <v>-3.104987798675747</v>
      </c>
      <c r="N56" s="83" t="s">
        <v>43</v>
      </c>
      <c r="O56" s="85">
        <f t="shared" si="4"/>
        <v>-155.19622756170878</v>
      </c>
    </row>
    <row r="57" spans="1:15" ht="4.5" customHeight="1" hidden="1">
      <c r="A57" s="43"/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</row>
    <row r="58" spans="1:16" ht="14.25" customHeight="1" hidden="1">
      <c r="A58" s="51" t="s">
        <v>6</v>
      </c>
      <c r="B58" s="85">
        <f aca="true" t="shared" si="5" ref="B58:N58">SUM(B44:B57)</f>
        <v>20.180934873138433</v>
      </c>
      <c r="C58" s="85">
        <f t="shared" si="5"/>
        <v>71.36498907504291</v>
      </c>
      <c r="D58" s="85">
        <f t="shared" si="5"/>
        <v>153.9144190981383</v>
      </c>
      <c r="E58" s="85">
        <f t="shared" si="5"/>
        <v>-1.3715790305048046</v>
      </c>
      <c r="F58" s="85">
        <f t="shared" si="5"/>
        <v>-0.2780568344512879</v>
      </c>
      <c r="G58" s="85">
        <f t="shared" si="5"/>
        <v>-0.7315557793154405</v>
      </c>
      <c r="H58" s="85">
        <f t="shared" si="5"/>
        <v>-53.090488738518786</v>
      </c>
      <c r="I58" s="85">
        <f t="shared" si="5"/>
        <v>-75.04807181825088</v>
      </c>
      <c r="J58" s="85">
        <f t="shared" si="5"/>
        <v>13.066893241887957</v>
      </c>
      <c r="K58" s="85">
        <f t="shared" si="5"/>
        <v>59.78432748719195</v>
      </c>
      <c r="L58" s="85">
        <f t="shared" si="5"/>
        <v>-8.87985809242138</v>
      </c>
      <c r="M58" s="85">
        <f t="shared" si="5"/>
        <v>-9.615173413279223</v>
      </c>
      <c r="N58" s="85">
        <f t="shared" si="5"/>
        <v>-69.29678006865609</v>
      </c>
      <c r="O58" s="85">
        <f>+SUM(B58:N58)</f>
        <v>100.00000000000165</v>
      </c>
      <c r="P58" s="18">
        <f>+Exp!L59+Imp!L59+Imp!L58+Imp!L51+Exp!L51</f>
        <v>-20.40369757272772</v>
      </c>
    </row>
    <row r="59" spans="1:15" ht="9.75" customHeight="1" thickBot="1">
      <c r="A59" s="38"/>
      <c r="B59" s="38"/>
      <c r="C59" s="38"/>
      <c r="D59" s="38"/>
      <c r="E59" s="38"/>
      <c r="F59" s="38"/>
      <c r="G59" s="38"/>
      <c r="H59" s="38"/>
      <c r="I59" s="38"/>
      <c r="J59" s="59"/>
      <c r="K59" s="38"/>
      <c r="L59" s="38"/>
      <c r="M59" s="38"/>
      <c r="N59" s="38"/>
      <c r="O59" s="38"/>
    </row>
    <row r="60" spans="1:15" ht="2.25" customHeight="1">
      <c r="A60" s="53"/>
      <c r="B60" s="55"/>
      <c r="C60" s="55"/>
      <c r="D60" s="55"/>
      <c r="E60" s="55"/>
      <c r="F60" s="55"/>
      <c r="G60" s="55"/>
      <c r="H60" s="55"/>
      <c r="I60" s="55"/>
      <c r="J60" s="70"/>
      <c r="K60" s="55"/>
      <c r="L60" s="55"/>
      <c r="M60" s="55"/>
      <c r="N60" s="55"/>
      <c r="O60" s="35"/>
    </row>
    <row r="61" spans="1:15" s="12" customFormat="1" ht="12">
      <c r="A61" s="56" t="s">
        <v>42</v>
      </c>
      <c r="B61" s="57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6"/>
    </row>
    <row r="62" spans="1:15" s="12" customFormat="1" ht="12">
      <c r="A62" s="56" t="s">
        <v>69</v>
      </c>
      <c r="B62" s="57"/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6"/>
    </row>
    <row r="63" spans="2:14" s="12" customFormat="1" ht="12"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</row>
  </sheetData>
  <sheetProtection/>
  <conditionalFormatting sqref="B10:N17 B19:N21 B22:F22 J22 N22">
    <cfRule type="expression" priority="14" dxfId="0" stopIfTrue="1">
      <formula>B10&gt;2</formula>
    </cfRule>
  </conditionalFormatting>
  <conditionalFormatting sqref="B27:N34 B36:N38 B39:F39 H39:I39 K39:N39">
    <cfRule type="expression" priority="13" dxfId="0" stopIfTrue="1">
      <formula>B27&gt;2</formula>
    </cfRule>
  </conditionalFormatting>
  <conditionalFormatting sqref="B44:N56">
    <cfRule type="expression" priority="1" dxfId="11" stopIfTrue="1">
      <formula>B44&lt;-100</formula>
    </cfRule>
    <cfRule type="expression" priority="11" dxfId="10" stopIfTrue="1">
      <formula>B44&lt;-30</formula>
    </cfRule>
    <cfRule type="expression" priority="12" dxfId="0" stopIfTrue="1">
      <formula>B44&gt;19</formula>
    </cfRule>
  </conditionalFormatting>
  <conditionalFormatting sqref="B18:I18 K18:N18">
    <cfRule type="expression" priority="10" dxfId="0" stopIfTrue="1">
      <formula>B18&gt;2</formula>
    </cfRule>
  </conditionalFormatting>
  <conditionalFormatting sqref="J18">
    <cfRule type="expression" priority="9" dxfId="0" stopIfTrue="1">
      <formula>J18&gt;2</formula>
    </cfRule>
  </conditionalFormatting>
  <conditionalFormatting sqref="B35:I35 K35:N35">
    <cfRule type="expression" priority="8" dxfId="0" stopIfTrue="1">
      <formula>B35&gt;2</formula>
    </cfRule>
  </conditionalFormatting>
  <conditionalFormatting sqref="J35">
    <cfRule type="expression" priority="7" dxfId="0" stopIfTrue="1">
      <formula>J35&gt;2</formula>
    </cfRule>
  </conditionalFormatting>
  <conditionalFormatting sqref="G22">
    <cfRule type="expression" priority="6" dxfId="0" stopIfTrue="1">
      <formula>G22&gt;2</formula>
    </cfRule>
  </conditionalFormatting>
  <conditionalFormatting sqref="G39">
    <cfRule type="expression" priority="5" dxfId="0" stopIfTrue="1">
      <formula>G39&gt;2</formula>
    </cfRule>
  </conditionalFormatting>
  <conditionalFormatting sqref="J39">
    <cfRule type="expression" priority="4" dxfId="0" stopIfTrue="1">
      <formula>J39&gt;2</formula>
    </cfRule>
  </conditionalFormatting>
  <conditionalFormatting sqref="H22:I22">
    <cfRule type="expression" priority="3" dxfId="0" stopIfTrue="1">
      <formula>H22&gt;2</formula>
    </cfRule>
  </conditionalFormatting>
  <conditionalFormatting sqref="K22:M22">
    <cfRule type="expression" priority="2" dxfId="0" stopIfTrue="1">
      <formula>K22&gt;2</formula>
    </cfRule>
  </conditionalFormatting>
  <printOptions horizontalCentered="1"/>
  <pageMargins left="0.5905511811023623" right="0.5905511811023623" top="0.5905511811023623" bottom="0.5905511811023623" header="0" footer="0"/>
  <pageSetup fitToHeight="1" fitToWidth="1" horizontalDpi="600" verticalDpi="600" orientation="landscape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74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75" sqref="A75:IV100"/>
    </sheetView>
  </sheetViews>
  <sheetFormatPr defaultColWidth="11.421875" defaultRowHeight="12.75"/>
  <cols>
    <col min="1" max="1" width="13.57421875" style="0" customWidth="1"/>
    <col min="2" max="7" width="8.7109375" style="0" customWidth="1"/>
    <col min="8" max="8" width="9.57421875" style="0" customWidth="1"/>
    <col min="9" max="11" width="8.7109375" style="0" customWidth="1"/>
    <col min="12" max="12" width="8.8515625" style="0" customWidth="1"/>
  </cols>
  <sheetData>
    <row r="1" spans="1:12" ht="12.75">
      <c r="A1" s="36" t="s">
        <v>61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35"/>
    </row>
    <row r="2" spans="1:12" ht="12.75">
      <c r="A2" s="36" t="str">
        <f>+Exp!A2</f>
        <v>ARGENTINA, BOLIVIA, BRASIL, CHILE, COLOMBIA, ECUADOR, MÉXICO, PARAGUAY, PERÚ Y URUGUAY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</row>
    <row r="3" spans="1:12" ht="12.75">
      <c r="A3" s="36" t="s">
        <v>20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</row>
    <row r="4" spans="1:13" ht="12.75">
      <c r="A4" s="37" t="str">
        <f>+Exp!A4</f>
        <v>Enero-setiembre 2012-2013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58"/>
      <c r="M4" s="13"/>
    </row>
    <row r="5" spans="1:12" ht="12.75">
      <c r="A5" s="37" t="s">
        <v>36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35"/>
    </row>
    <row r="6" spans="1:12" ht="9" customHeight="1" thickBot="1">
      <c r="A6" s="59"/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</row>
    <row r="7" spans="1:12" ht="15" customHeight="1" thickBot="1">
      <c r="A7" s="90" t="s">
        <v>0</v>
      </c>
      <c r="B7" s="88" t="s">
        <v>30</v>
      </c>
      <c r="C7" s="88" t="s">
        <v>31</v>
      </c>
      <c r="D7" s="88" t="s">
        <v>32</v>
      </c>
      <c r="E7" s="89" t="s">
        <v>33</v>
      </c>
      <c r="F7" s="88" t="s">
        <v>40</v>
      </c>
      <c r="G7" s="88" t="s">
        <v>34</v>
      </c>
      <c r="H7" s="88" t="s">
        <v>35</v>
      </c>
      <c r="I7" s="88" t="s">
        <v>41</v>
      </c>
      <c r="J7" s="88" t="s">
        <v>37</v>
      </c>
      <c r="K7" s="88" t="s">
        <v>38</v>
      </c>
      <c r="L7" s="88" t="s">
        <v>18</v>
      </c>
    </row>
    <row r="8" spans="1:12" ht="9" customHeight="1">
      <c r="A8" s="60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</row>
    <row r="9" spans="1:12" ht="15">
      <c r="A9" s="61"/>
      <c r="B9" s="61" t="str">
        <f>+Exp!B10</f>
        <v>Enero-setiembre 2013</v>
      </c>
      <c r="C9" s="61"/>
      <c r="D9" s="62"/>
      <c r="E9" s="62"/>
      <c r="F9" s="62"/>
      <c r="G9" s="62"/>
      <c r="H9" s="62"/>
      <c r="I9" s="62"/>
      <c r="J9" s="62"/>
      <c r="K9" s="62"/>
      <c r="L9" s="62"/>
    </row>
    <row r="10" spans="1:12" ht="9" customHeight="1">
      <c r="A10" s="63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</row>
    <row r="11" spans="1:12" ht="14.25" customHeight="1">
      <c r="A11" s="36" t="s">
        <v>6</v>
      </c>
      <c r="B11" s="64">
        <f>+Exp!B25</f>
        <v>25046.087371900005</v>
      </c>
      <c r="C11" s="64">
        <f>+Exp!C25</f>
        <v>6148.106678029999</v>
      </c>
      <c r="D11" s="64">
        <f>+Exp!D25</f>
        <v>35363.811</v>
      </c>
      <c r="E11" s="64">
        <f>+Exp!E25</f>
        <v>8705.470800750001</v>
      </c>
      <c r="F11" s="64">
        <f>+Exp!F25</f>
        <v>9878.24867559</v>
      </c>
      <c r="G11" s="64">
        <f>+Exp!G25</f>
        <v>4978.523543</v>
      </c>
      <c r="H11" s="64">
        <f>+Exp!H25</f>
        <v>16098.594627999999</v>
      </c>
      <c r="I11" s="64">
        <f>+Exp!I25</f>
        <v>3939.7595920000003</v>
      </c>
      <c r="J11" s="64">
        <f>+Exp!J25</f>
        <v>5787.047337999999</v>
      </c>
      <c r="K11" s="64">
        <f>+Exp!K25</f>
        <v>2373.3992660000004</v>
      </c>
      <c r="L11" s="64">
        <f>SUM(B11:K11)</f>
        <v>118319.04889327002</v>
      </c>
    </row>
    <row r="12" spans="1:12" ht="9" customHeight="1">
      <c r="A12" s="37"/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</row>
    <row r="13" spans="1:14" ht="14.25" customHeight="1">
      <c r="A13" s="36" t="s">
        <v>24</v>
      </c>
      <c r="B13" s="64">
        <f>SUM(B15:B26)</f>
        <v>38433.112494320005</v>
      </c>
      <c r="C13" s="64">
        <f aca="true" t="shared" si="0" ref="C13:K13">SUM(C15:C26)</f>
        <v>2905.12735297</v>
      </c>
      <c r="D13" s="64">
        <f t="shared" si="0"/>
        <v>142286.64399999997</v>
      </c>
      <c r="E13" s="64">
        <f t="shared" si="0"/>
        <v>48633.191370669985</v>
      </c>
      <c r="F13" s="64">
        <f t="shared" si="0"/>
        <v>33890.69578268999</v>
      </c>
      <c r="G13" s="64">
        <f t="shared" si="0"/>
        <v>13651.985736999999</v>
      </c>
      <c r="H13" s="64">
        <f t="shared" si="0"/>
        <v>265212.568365</v>
      </c>
      <c r="I13" s="64">
        <f t="shared" si="0"/>
        <v>3635.726477000001</v>
      </c>
      <c r="J13" s="64">
        <f>SUM(J15:J26)</f>
        <v>24892.615317199998</v>
      </c>
      <c r="K13" s="64">
        <f t="shared" si="0"/>
        <v>4693.7826479999985</v>
      </c>
      <c r="L13" s="64">
        <f>SUM(B13:K13)</f>
        <v>578235.44954485</v>
      </c>
      <c r="M13" s="2"/>
      <c r="N13" s="2"/>
    </row>
    <row r="14" spans="1:14" ht="6.75" customHeight="1">
      <c r="A14" s="74"/>
      <c r="B14" s="64"/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2"/>
      <c r="N14" s="2"/>
    </row>
    <row r="15" spans="1:22" ht="14.25">
      <c r="A15" s="37" t="s">
        <v>53</v>
      </c>
      <c r="B15" s="64">
        <v>643.41418055</v>
      </c>
      <c r="C15" s="64">
        <v>28.15129546</v>
      </c>
      <c r="D15" s="64">
        <v>2322.745</v>
      </c>
      <c r="E15" s="64">
        <v>500.13069502999264</v>
      </c>
      <c r="F15" s="64">
        <v>3619.90710428</v>
      </c>
      <c r="G15" s="64">
        <v>346.730711</v>
      </c>
      <c r="H15" s="64">
        <v>4796.898092</v>
      </c>
      <c r="I15" s="64">
        <v>116.96649599999999</v>
      </c>
      <c r="J15" s="64">
        <v>319.6015059999999</v>
      </c>
      <c r="K15" s="64">
        <v>37.372716</v>
      </c>
      <c r="L15" s="64">
        <f>SUM(B15:K15)</f>
        <v>12731.91779631999</v>
      </c>
      <c r="M15" s="2"/>
      <c r="N15" s="17"/>
      <c r="O15" s="17"/>
      <c r="P15" s="29"/>
      <c r="Q15" s="29"/>
      <c r="R15" s="17"/>
      <c r="S15" s="17"/>
      <c r="T15" s="17"/>
      <c r="U15" s="17"/>
      <c r="V15" s="17"/>
    </row>
    <row r="16" spans="1:22" ht="6.75" customHeight="1">
      <c r="A16" s="74"/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2"/>
      <c r="N16" s="17"/>
      <c r="O16" s="17"/>
      <c r="P16" s="29"/>
      <c r="Q16" s="29"/>
      <c r="R16" s="17"/>
      <c r="S16" s="17"/>
      <c r="T16" s="17"/>
      <c r="U16" s="17"/>
      <c r="V16" s="17"/>
    </row>
    <row r="17" spans="1:22" ht="14.25">
      <c r="A17" s="37" t="s">
        <v>50</v>
      </c>
      <c r="B17" s="64">
        <v>1409.4274170799997</v>
      </c>
      <c r="C17" s="64">
        <v>108.07211667</v>
      </c>
      <c r="D17" s="64">
        <v>1932.651</v>
      </c>
      <c r="E17" s="64">
        <v>1109.9551055900001</v>
      </c>
      <c r="F17" s="64">
        <v>268.78233614</v>
      </c>
      <c r="G17" s="64">
        <v>88.452</v>
      </c>
      <c r="H17" s="64">
        <v>7718.351922</v>
      </c>
      <c r="I17" s="64">
        <v>4.631342</v>
      </c>
      <c r="J17" s="64">
        <v>2028.1468716</v>
      </c>
      <c r="K17" s="64">
        <v>43.159541</v>
      </c>
      <c r="L17" s="64">
        <f>SUM(B17:K17)</f>
        <v>14711.62965208</v>
      </c>
      <c r="M17" s="2"/>
      <c r="N17" s="17"/>
      <c r="O17" s="17"/>
      <c r="P17" s="29"/>
      <c r="Q17" s="29"/>
      <c r="R17" s="17"/>
      <c r="S17" s="17"/>
      <c r="T17" s="17"/>
      <c r="U17" s="17"/>
      <c r="V17" s="17"/>
    </row>
    <row r="18" spans="1:22" ht="14.25">
      <c r="A18" s="37" t="s">
        <v>13</v>
      </c>
      <c r="B18" s="64">
        <v>3172.6473952700003</v>
      </c>
      <c r="C18" s="64">
        <v>957.35163345</v>
      </c>
      <c r="D18" s="64">
        <v>18539.203</v>
      </c>
      <c r="E18" s="64">
        <v>7833.88622758</v>
      </c>
      <c r="F18" s="64">
        <v>14847.92103241</v>
      </c>
      <c r="G18" s="64">
        <v>8400.767688</v>
      </c>
      <c r="H18" s="64">
        <v>220344.385961</v>
      </c>
      <c r="I18" s="64">
        <v>205.49895</v>
      </c>
      <c r="J18" s="64">
        <v>5389.9103761</v>
      </c>
      <c r="K18" s="64">
        <v>269.824658</v>
      </c>
      <c r="L18" s="64">
        <f>SUM(B18:K18)</f>
        <v>279961.39692181</v>
      </c>
      <c r="M18" s="2"/>
      <c r="N18" s="17"/>
      <c r="O18" s="17"/>
      <c r="P18" s="29"/>
      <c r="Q18" s="29"/>
      <c r="R18" s="17"/>
      <c r="S18" s="17"/>
      <c r="T18" s="17"/>
      <c r="U18" s="17"/>
      <c r="V18" s="17"/>
    </row>
    <row r="19" spans="1:22" ht="6.75" customHeight="1">
      <c r="A19" s="74"/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2"/>
      <c r="N19" s="17"/>
      <c r="O19" s="17"/>
      <c r="P19" s="29"/>
      <c r="Q19" s="29"/>
      <c r="R19" s="17"/>
      <c r="S19" s="17"/>
      <c r="T19" s="17"/>
      <c r="U19" s="17"/>
      <c r="V19" s="17"/>
    </row>
    <row r="20" spans="1:22" ht="14.25">
      <c r="A20" s="37" t="s">
        <v>49</v>
      </c>
      <c r="B20" s="64">
        <v>7839.61597789</v>
      </c>
      <c r="C20" s="64">
        <v>635.48675669</v>
      </c>
      <c r="D20" s="64">
        <v>34244.501</v>
      </c>
      <c r="E20" s="64">
        <v>8637.748359090001</v>
      </c>
      <c r="F20" s="64">
        <v>6903.25709761</v>
      </c>
      <c r="G20" s="64">
        <v>2250.738681</v>
      </c>
      <c r="H20" s="64">
        <v>15538.849891000002</v>
      </c>
      <c r="I20" s="64">
        <v>1212.516098</v>
      </c>
      <c r="J20" s="64">
        <v>4959.1416941</v>
      </c>
      <c r="K20" s="64">
        <v>844.374351</v>
      </c>
      <c r="L20" s="64">
        <f>SUM(B20:K20)</f>
        <v>83066.22990638002</v>
      </c>
      <c r="M20" s="2"/>
      <c r="N20" s="17"/>
      <c r="O20" s="17"/>
      <c r="P20" s="29"/>
      <c r="Q20" s="29"/>
      <c r="R20" s="17"/>
      <c r="S20" s="17"/>
      <c r="T20" s="17"/>
      <c r="U20" s="17"/>
      <c r="V20" s="17"/>
    </row>
    <row r="21" spans="1:22" ht="7.5" customHeight="1">
      <c r="A21" s="74"/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2"/>
      <c r="N21" s="17"/>
      <c r="O21" s="17"/>
      <c r="P21" s="29"/>
      <c r="Q21" s="29"/>
      <c r="R21" s="17"/>
      <c r="S21" s="17"/>
      <c r="T21" s="17"/>
      <c r="U21" s="17"/>
      <c r="V21" s="17"/>
    </row>
    <row r="22" spans="1:22" ht="14.25">
      <c r="A22" s="37" t="s">
        <v>14</v>
      </c>
      <c r="B22" s="64">
        <v>1294.9757822499998</v>
      </c>
      <c r="C22" s="64">
        <v>314.55211812</v>
      </c>
      <c r="D22" s="64">
        <v>5893.901</v>
      </c>
      <c r="E22" s="64">
        <v>5650.6740114600025</v>
      </c>
      <c r="F22" s="64">
        <v>296.69942119999996</v>
      </c>
      <c r="G22" s="64">
        <v>475.96640099999996</v>
      </c>
      <c r="H22" s="64">
        <v>1645.748209</v>
      </c>
      <c r="I22" s="64">
        <v>69.29984900000001</v>
      </c>
      <c r="J22" s="64">
        <v>1585.7012676</v>
      </c>
      <c r="K22" s="64">
        <v>8.747273</v>
      </c>
      <c r="L22" s="64">
        <f>SUM(B22:K22)</f>
        <v>17236.265332630002</v>
      </c>
      <c r="M22" s="2"/>
      <c r="N22" s="17"/>
      <c r="O22" s="17"/>
      <c r="P22" s="29"/>
      <c r="Q22" s="29"/>
      <c r="R22" s="17"/>
      <c r="S22" s="17"/>
      <c r="T22" s="17"/>
      <c r="U22" s="17"/>
      <c r="V22" s="17"/>
    </row>
    <row r="23" spans="1:22" ht="14.25">
      <c r="A23" s="37" t="s">
        <v>15</v>
      </c>
      <c r="B23" s="64">
        <v>4951.522214469999</v>
      </c>
      <c r="C23" s="64">
        <v>236.47154889</v>
      </c>
      <c r="D23" s="64">
        <v>38435.56</v>
      </c>
      <c r="E23" s="64">
        <v>13734.770811459997</v>
      </c>
      <c r="F23" s="64">
        <v>3535.2634229699997</v>
      </c>
      <c r="G23" s="64">
        <v>601.97051</v>
      </c>
      <c r="H23" s="64">
        <v>5489.156138</v>
      </c>
      <c r="I23" s="64">
        <v>127.782202</v>
      </c>
      <c r="J23" s="64">
        <v>5319.395484399999</v>
      </c>
      <c r="K23" s="64">
        <v>1161.08382</v>
      </c>
      <c r="L23" s="64">
        <f>SUM(B23:K23)</f>
        <v>73592.97615218999</v>
      </c>
      <c r="M23" s="2"/>
      <c r="N23" s="17"/>
      <c r="O23" s="17"/>
      <c r="P23" s="29"/>
      <c r="Q23" s="29"/>
      <c r="R23" s="17"/>
      <c r="S23" s="17"/>
      <c r="T23" s="17"/>
      <c r="U23" s="17"/>
      <c r="V23" s="17"/>
    </row>
    <row r="24" spans="1:22" ht="14.25">
      <c r="A24" s="37" t="s">
        <v>27</v>
      </c>
      <c r="B24" s="64">
        <v>4759.5933378</v>
      </c>
      <c r="C24" s="64">
        <v>345.15556953</v>
      </c>
      <c r="D24" s="64">
        <v>10921.803</v>
      </c>
      <c r="E24" s="64">
        <v>5241.71639737</v>
      </c>
      <c r="F24" s="64">
        <v>342.82844464</v>
      </c>
      <c r="G24" s="64">
        <v>83.01263499999999</v>
      </c>
      <c r="H24" s="64">
        <v>2596.78752</v>
      </c>
      <c r="I24" s="64">
        <v>182.36195999999998</v>
      </c>
      <c r="J24" s="64">
        <v>1726.5480060000002</v>
      </c>
      <c r="K24" s="64">
        <v>86.182741</v>
      </c>
      <c r="L24" s="64">
        <f>SUM(B24:K24)</f>
        <v>26285.98961134</v>
      </c>
      <c r="M24" s="2"/>
      <c r="N24" s="17"/>
      <c r="O24" s="17"/>
      <c r="P24" s="29"/>
      <c r="Q24" s="17"/>
      <c r="R24" s="17"/>
      <c r="S24" s="17"/>
      <c r="T24" s="17"/>
      <c r="U24" s="17"/>
      <c r="V24" s="17"/>
    </row>
    <row r="25" spans="1:22" ht="7.5" customHeight="1">
      <c r="A25" s="74"/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2"/>
      <c r="N25" s="17"/>
      <c r="O25" s="17"/>
      <c r="P25" s="17"/>
      <c r="Q25" s="17"/>
      <c r="R25" s="17"/>
      <c r="S25" s="17"/>
      <c r="T25" s="17"/>
      <c r="U25" s="17"/>
      <c r="V25" s="17"/>
    </row>
    <row r="26" spans="1:22" ht="14.25" customHeight="1">
      <c r="A26" s="37" t="s">
        <v>22</v>
      </c>
      <c r="B26" s="64">
        <v>14361.916189010002</v>
      </c>
      <c r="C26" s="64">
        <v>279.88631416000055</v>
      </c>
      <c r="D26" s="64">
        <v>29996.28</v>
      </c>
      <c r="E26" s="64">
        <v>5924.309763089992</v>
      </c>
      <c r="F26" s="64">
        <v>4076.0369234399946</v>
      </c>
      <c r="G26" s="64">
        <v>1404.3471110000014</v>
      </c>
      <c r="H26" s="64">
        <v>7082.390632000029</v>
      </c>
      <c r="I26" s="64">
        <v>1716.669580000001</v>
      </c>
      <c r="J26" s="64">
        <v>3564.1701114000007</v>
      </c>
      <c r="K26" s="64">
        <v>2243.0375479999984</v>
      </c>
      <c r="L26" s="64">
        <f>SUM(B26:K26)</f>
        <v>70649.04417210001</v>
      </c>
      <c r="M26" s="2"/>
      <c r="N26" s="17"/>
      <c r="O26" s="17"/>
      <c r="P26" s="17"/>
      <c r="Q26" s="17"/>
      <c r="R26" s="17"/>
      <c r="S26" s="17"/>
      <c r="T26" s="17"/>
      <c r="U26" s="17"/>
      <c r="V26" s="17"/>
    </row>
    <row r="27" spans="1:14" ht="9" customHeight="1">
      <c r="A27" s="74"/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2"/>
      <c r="N27" s="2"/>
    </row>
    <row r="28" spans="1:14" ht="14.25" customHeight="1">
      <c r="A28" s="75" t="s">
        <v>23</v>
      </c>
      <c r="B28" s="64">
        <f aca="true" t="shared" si="1" ref="B28:L28">+B11+B13</f>
        <v>63479.199866220006</v>
      </c>
      <c r="C28" s="64">
        <f t="shared" si="1"/>
        <v>9053.234031</v>
      </c>
      <c r="D28" s="64">
        <f t="shared" si="1"/>
        <v>177650.45499999996</v>
      </c>
      <c r="E28" s="64">
        <f t="shared" si="1"/>
        <v>57338.66217141999</v>
      </c>
      <c r="F28" s="64">
        <f t="shared" si="1"/>
        <v>43768.94445827999</v>
      </c>
      <c r="G28" s="64">
        <f t="shared" si="1"/>
        <v>18630.50928</v>
      </c>
      <c r="H28" s="64">
        <f t="shared" si="1"/>
        <v>281311.162993</v>
      </c>
      <c r="I28" s="64">
        <f t="shared" si="1"/>
        <v>7575.486069000001</v>
      </c>
      <c r="J28" s="64">
        <f t="shared" si="1"/>
        <v>30679.662655199998</v>
      </c>
      <c r="K28" s="64">
        <f t="shared" si="1"/>
        <v>7067.181913999999</v>
      </c>
      <c r="L28" s="64">
        <f t="shared" si="1"/>
        <v>696554.4984381201</v>
      </c>
      <c r="M28" s="2"/>
      <c r="N28" s="2"/>
    </row>
    <row r="29" spans="1:12" ht="9" customHeight="1">
      <c r="A29" s="35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58"/>
    </row>
    <row r="30" spans="1:12" ht="15">
      <c r="A30" s="61"/>
      <c r="B30" s="61" t="str">
        <f>+Exp!B27</f>
        <v>Enero-setiembre 2012</v>
      </c>
      <c r="C30" s="61"/>
      <c r="D30" s="62"/>
      <c r="E30" s="62"/>
      <c r="F30" s="62"/>
      <c r="G30" s="62"/>
      <c r="H30" s="62"/>
      <c r="I30" s="62"/>
      <c r="J30" s="62"/>
      <c r="K30" s="62"/>
      <c r="L30" s="76"/>
    </row>
    <row r="31" spans="1:12" ht="9" customHeight="1">
      <c r="A31" s="63"/>
      <c r="B31" s="35"/>
      <c r="C31" s="35"/>
      <c r="D31" s="62"/>
      <c r="E31" s="62"/>
      <c r="F31" s="62"/>
      <c r="G31" s="62"/>
      <c r="H31" s="62"/>
      <c r="I31" s="62"/>
      <c r="J31" s="62"/>
      <c r="K31" s="62"/>
      <c r="L31" s="58"/>
    </row>
    <row r="32" spans="1:12" ht="14.25" customHeight="1">
      <c r="A32" s="36" t="s">
        <v>6</v>
      </c>
      <c r="B32" s="64">
        <f>+Exp!B42</f>
        <v>24345.878410920002</v>
      </c>
      <c r="C32" s="64">
        <f>+Exp!C42</f>
        <v>5552.042421870001</v>
      </c>
      <c r="D32" s="64">
        <f>+Exp!D42</f>
        <v>33557.821</v>
      </c>
      <c r="E32" s="64">
        <f>+Exp!E42</f>
        <v>8613.318151820002</v>
      </c>
      <c r="F32" s="64">
        <f>+Exp!F42</f>
        <v>9966.59971878</v>
      </c>
      <c r="G32" s="64">
        <f>+Exp!G42</f>
        <v>5707.707322360869</v>
      </c>
      <c r="H32" s="64">
        <f>+Exp!H42</f>
        <v>16982.384788</v>
      </c>
      <c r="I32" s="64">
        <f>+Exp!I42</f>
        <v>3030.24124</v>
      </c>
      <c r="J32" s="64">
        <f>+Exp!J42</f>
        <v>5986.3691256</v>
      </c>
      <c r="K32" s="64">
        <f>+Exp!K42</f>
        <v>2467.3708649999994</v>
      </c>
      <c r="L32" s="64">
        <f>SUM(B32:K32)</f>
        <v>116209.73304435088</v>
      </c>
    </row>
    <row r="33" spans="1:12" ht="9" customHeight="1">
      <c r="A33" s="37"/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</row>
    <row r="34" spans="1:14" ht="14.25" customHeight="1">
      <c r="A34" s="36" t="s">
        <v>24</v>
      </c>
      <c r="B34" s="64">
        <f>SUM(B36:B47)</f>
        <v>36761.091470160005</v>
      </c>
      <c r="C34" s="64">
        <f aca="true" t="shared" si="2" ref="C34:K34">SUM(C36:C47)</f>
        <v>2965.195030199998</v>
      </c>
      <c r="D34" s="64">
        <f t="shared" si="2"/>
        <v>147038.4</v>
      </c>
      <c r="E34" s="64">
        <f t="shared" si="2"/>
        <v>48122.453140530015</v>
      </c>
      <c r="F34" s="64">
        <f t="shared" si="2"/>
        <v>34966.66982843998</v>
      </c>
      <c r="G34" s="64">
        <f t="shared" si="2"/>
        <v>12455.814077639136</v>
      </c>
      <c r="H34" s="64">
        <f t="shared" si="2"/>
        <v>258170.919408</v>
      </c>
      <c r="I34" s="64">
        <f t="shared" si="2"/>
        <v>2499.153093</v>
      </c>
      <c r="J34" s="64">
        <f t="shared" si="2"/>
        <v>28309.510889999994</v>
      </c>
      <c r="K34" s="64">
        <f t="shared" si="2"/>
        <v>4222.278135</v>
      </c>
      <c r="L34" s="64">
        <f>SUM(B34:K34)</f>
        <v>575511.4850729691</v>
      </c>
      <c r="M34" s="2"/>
      <c r="N34" s="2"/>
    </row>
    <row r="35" spans="1:14" ht="6.75" customHeight="1">
      <c r="A35" s="74"/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2"/>
      <c r="N35" s="2"/>
    </row>
    <row r="36" spans="1:23" ht="14.25" customHeight="1">
      <c r="A36" s="37" t="s">
        <v>53</v>
      </c>
      <c r="B36" s="64">
        <v>645.1463892200001</v>
      </c>
      <c r="C36" s="64">
        <v>8.13863183</v>
      </c>
      <c r="D36" s="64">
        <v>3970.955</v>
      </c>
      <c r="E36" s="64">
        <v>499.1159841400043</v>
      </c>
      <c r="F36" s="64">
        <v>3679.0280221400003</v>
      </c>
      <c r="G36" s="64">
        <v>435.160919</v>
      </c>
      <c r="H36" s="64">
        <v>4728.971045999999</v>
      </c>
      <c r="I36" s="64">
        <v>67.613038</v>
      </c>
      <c r="J36" s="64">
        <v>359.4827728</v>
      </c>
      <c r="K36" s="64">
        <v>31.337246</v>
      </c>
      <c r="L36" s="64">
        <f>SUM(B36:K36)</f>
        <v>14424.949049130002</v>
      </c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</row>
    <row r="37" spans="1:23" ht="6.75" customHeight="1">
      <c r="A37" s="74"/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</row>
    <row r="38" spans="1:23" ht="14.25" customHeight="1">
      <c r="A38" s="37" t="s">
        <v>50</v>
      </c>
      <c r="B38" s="64">
        <v>1552.54727122</v>
      </c>
      <c r="C38" s="64">
        <v>108.71918876000001</v>
      </c>
      <c r="D38" s="64">
        <v>2079.518</v>
      </c>
      <c r="E38" s="64">
        <v>943.31384049</v>
      </c>
      <c r="F38" s="64">
        <v>356.81067757</v>
      </c>
      <c r="G38" s="64">
        <v>99.11</v>
      </c>
      <c r="H38" s="64">
        <v>8217.756193</v>
      </c>
      <c r="I38" s="64">
        <v>2.657383</v>
      </c>
      <c r="J38" s="64">
        <v>2612.8422173000004</v>
      </c>
      <c r="K38" s="64">
        <v>41.210102</v>
      </c>
      <c r="L38" s="64">
        <f>SUM(B38:K38)</f>
        <v>16014.484873339998</v>
      </c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</row>
    <row r="39" spans="1:23" ht="14.25" customHeight="1">
      <c r="A39" s="37" t="s">
        <v>13</v>
      </c>
      <c r="B39" s="64">
        <v>3226.25205336</v>
      </c>
      <c r="C39" s="64">
        <v>1181.87786069</v>
      </c>
      <c r="D39" s="64">
        <v>20700.269</v>
      </c>
      <c r="E39" s="64">
        <v>6519.137085620001</v>
      </c>
      <c r="F39" s="64">
        <v>16973.324605470003</v>
      </c>
      <c r="G39" s="64">
        <v>8114.509359</v>
      </c>
      <c r="H39" s="64">
        <v>213398.881903</v>
      </c>
      <c r="I39" s="64">
        <v>105.357982</v>
      </c>
      <c r="J39" s="64">
        <v>4763.742093899999</v>
      </c>
      <c r="K39" s="64">
        <v>234.541842</v>
      </c>
      <c r="L39" s="64">
        <f>SUM(B39:K39)</f>
        <v>275217.89378503995</v>
      </c>
      <c r="M39" s="24"/>
      <c r="N39" s="2"/>
      <c r="O39" s="2"/>
      <c r="P39" s="2"/>
      <c r="Q39" s="2"/>
      <c r="R39" s="2"/>
      <c r="S39" s="2"/>
      <c r="T39" s="2"/>
      <c r="U39" s="2"/>
      <c r="V39" s="2"/>
      <c r="W39" s="2"/>
    </row>
    <row r="40" spans="1:23" ht="6.75" customHeight="1">
      <c r="A40" s="74"/>
      <c r="B40" s="64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</row>
    <row r="41" spans="1:23" ht="14.25" customHeight="1">
      <c r="A41" s="37" t="s">
        <v>49</v>
      </c>
      <c r="B41" s="64">
        <v>9420.517992590001</v>
      </c>
      <c r="C41" s="64">
        <v>509.44668761</v>
      </c>
      <c r="D41" s="64">
        <v>36667.761</v>
      </c>
      <c r="E41" s="64">
        <v>9019.25538601</v>
      </c>
      <c r="F41" s="64">
        <v>6797.58848915</v>
      </c>
      <c r="G41" s="64">
        <v>1894.2297429999999</v>
      </c>
      <c r="H41" s="64">
        <v>16427.105252</v>
      </c>
      <c r="I41" s="64">
        <v>920.027378</v>
      </c>
      <c r="J41" s="64">
        <v>6031.3574118999995</v>
      </c>
      <c r="K41" s="64">
        <v>741.918228</v>
      </c>
      <c r="L41" s="64">
        <f>SUM(B41:K41)</f>
        <v>88429.20756825998</v>
      </c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</row>
    <row r="42" spans="1:23" ht="7.5" customHeight="1">
      <c r="A42" s="74"/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</row>
    <row r="43" spans="1:23" ht="14.25" customHeight="1">
      <c r="A43" s="37" t="s">
        <v>14</v>
      </c>
      <c r="B43" s="64">
        <v>808.43986436</v>
      </c>
      <c r="C43" s="64">
        <v>339.23521145</v>
      </c>
      <c r="D43" s="64">
        <v>5616.046</v>
      </c>
      <c r="E43" s="64">
        <v>6410.275792260001</v>
      </c>
      <c r="F43" s="64">
        <v>278.86624598000003</v>
      </c>
      <c r="G43" s="64">
        <v>482.82374599999997</v>
      </c>
      <c r="H43" s="64">
        <v>1957.4213049999998</v>
      </c>
      <c r="I43" s="64">
        <v>26.226487000000002</v>
      </c>
      <c r="J43" s="64">
        <v>1917.0009220999998</v>
      </c>
      <c r="K43" s="64">
        <v>6.858337000000001</v>
      </c>
      <c r="L43" s="64">
        <f>SUM(B43:K43)</f>
        <v>17843.19391115</v>
      </c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</row>
    <row r="44" spans="1:23" ht="14.25" customHeight="1">
      <c r="A44" s="37" t="s">
        <v>15</v>
      </c>
      <c r="B44" s="64">
        <v>4174.95340522</v>
      </c>
      <c r="C44" s="64">
        <v>248.75177978000002</v>
      </c>
      <c r="D44" s="64">
        <v>34122.302</v>
      </c>
      <c r="E44" s="64">
        <v>13007.261664450003</v>
      </c>
      <c r="F44" s="64">
        <v>2643.81080903</v>
      </c>
      <c r="G44" s="64">
        <v>286.85277</v>
      </c>
      <c r="H44" s="64">
        <v>4786.660553000001</v>
      </c>
      <c r="I44" s="64">
        <v>60.626285</v>
      </c>
      <c r="J44" s="64">
        <v>5798.0596201</v>
      </c>
      <c r="K44" s="64">
        <v>735.0823909999999</v>
      </c>
      <c r="L44" s="64">
        <f>SUM(B44:K44)</f>
        <v>65864.36127758</v>
      </c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</row>
    <row r="45" spans="1:23" ht="14.25" customHeight="1">
      <c r="A45" s="37" t="s">
        <v>27</v>
      </c>
      <c r="B45" s="64">
        <v>4227.70747994</v>
      </c>
      <c r="C45" s="64">
        <v>260.15408713</v>
      </c>
      <c r="D45" s="64">
        <v>10904.145</v>
      </c>
      <c r="E45" s="64">
        <v>5491.9753037499995</v>
      </c>
      <c r="F45" s="64">
        <v>1135.2434203900002</v>
      </c>
      <c r="G45" s="64">
        <v>65.283064</v>
      </c>
      <c r="H45" s="64">
        <v>2711.934639</v>
      </c>
      <c r="I45" s="64">
        <v>104.622331</v>
      </c>
      <c r="J45" s="64">
        <v>1732.1536031000003</v>
      </c>
      <c r="K45" s="64">
        <v>105.04701200000001</v>
      </c>
      <c r="L45" s="64">
        <f>SUM(B45:K45)</f>
        <v>26738.265940309997</v>
      </c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</row>
    <row r="46" spans="1:23" ht="7.5" customHeight="1">
      <c r="A46" s="74"/>
      <c r="B46" s="64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</row>
    <row r="47" spans="1:23" ht="14.25" customHeight="1">
      <c r="A47" s="37" t="s">
        <v>22</v>
      </c>
      <c r="B47" s="64">
        <v>12705.527014250003</v>
      </c>
      <c r="C47" s="64">
        <v>308.87158294999784</v>
      </c>
      <c r="D47" s="64">
        <v>32977.404</v>
      </c>
      <c r="E47" s="64">
        <v>6232.118083810009</v>
      </c>
      <c r="F47" s="64">
        <v>3101.997558709979</v>
      </c>
      <c r="G47" s="64">
        <v>1077.8444766391367</v>
      </c>
      <c r="H47" s="64">
        <v>5942.18851699996</v>
      </c>
      <c r="I47" s="64">
        <v>1212.0222089999997</v>
      </c>
      <c r="J47" s="64">
        <v>5094.872248799995</v>
      </c>
      <c r="K47" s="64">
        <v>2326.282977</v>
      </c>
      <c r="L47" s="64">
        <f>SUM(B47:K47)</f>
        <v>70979.12866815907</v>
      </c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</row>
    <row r="48" spans="1:14" ht="9" customHeight="1">
      <c r="A48" s="74"/>
      <c r="B48" s="64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2"/>
      <c r="N48" s="2"/>
    </row>
    <row r="49" spans="1:14" ht="14.25" customHeight="1">
      <c r="A49" s="75" t="s">
        <v>23</v>
      </c>
      <c r="B49" s="64">
        <f aca="true" t="shared" si="3" ref="B49:L49">+B32+B34</f>
        <v>61106.969881080004</v>
      </c>
      <c r="C49" s="64">
        <f t="shared" si="3"/>
        <v>8517.23745207</v>
      </c>
      <c r="D49" s="64">
        <f t="shared" si="3"/>
        <v>180596.221</v>
      </c>
      <c r="E49" s="64">
        <f t="shared" si="3"/>
        <v>56735.771292350015</v>
      </c>
      <c r="F49" s="64">
        <f t="shared" si="3"/>
        <v>44933.269547219985</v>
      </c>
      <c r="G49" s="64">
        <f t="shared" si="3"/>
        <v>18163.521400000005</v>
      </c>
      <c r="H49" s="64">
        <f t="shared" si="3"/>
        <v>275153.304196</v>
      </c>
      <c r="I49" s="64">
        <f t="shared" si="3"/>
        <v>5529.394333</v>
      </c>
      <c r="J49" s="64">
        <f t="shared" si="3"/>
        <v>34295.88001559999</v>
      </c>
      <c r="K49" s="64">
        <f t="shared" si="3"/>
        <v>6689.648999999999</v>
      </c>
      <c r="L49" s="64">
        <f t="shared" si="3"/>
        <v>691721.21811732</v>
      </c>
      <c r="M49" s="2"/>
      <c r="N49" s="2"/>
    </row>
    <row r="50" spans="1:12" ht="9" customHeight="1">
      <c r="A50" s="35"/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</row>
    <row r="51" spans="1:12" ht="15">
      <c r="A51" s="61"/>
      <c r="B51" s="61" t="str">
        <f>+Exp!B44</f>
        <v>Crecimiento 2013/2012</v>
      </c>
      <c r="C51" s="61"/>
      <c r="D51" s="62"/>
      <c r="E51" s="62"/>
      <c r="F51" s="62"/>
      <c r="G51" s="62"/>
      <c r="H51" s="62"/>
      <c r="I51" s="62"/>
      <c r="J51" s="62"/>
      <c r="K51" s="62"/>
      <c r="L51" s="62"/>
    </row>
    <row r="52" spans="1:12" ht="9" customHeight="1">
      <c r="A52" s="63"/>
      <c r="B52" s="35"/>
      <c r="C52" s="35"/>
      <c r="D52" s="62"/>
      <c r="E52" s="62"/>
      <c r="F52" s="62"/>
      <c r="G52" s="62"/>
      <c r="H52" s="62"/>
      <c r="I52" s="62"/>
      <c r="J52" s="62"/>
      <c r="K52" s="62"/>
      <c r="L52" s="35"/>
    </row>
    <row r="53" spans="1:12" ht="14.25" customHeight="1">
      <c r="A53" s="36" t="s">
        <v>6</v>
      </c>
      <c r="B53" s="66">
        <f aca="true" t="shared" si="4" ref="B53:L53">+(B11/B32-1)*100</f>
        <v>2.8760883019358863</v>
      </c>
      <c r="C53" s="66">
        <f t="shared" si="4"/>
        <v>10.735945637087463</v>
      </c>
      <c r="D53" s="66">
        <f t="shared" si="4"/>
        <v>5.381726066182901</v>
      </c>
      <c r="E53" s="66">
        <f t="shared" si="4"/>
        <v>1.0698855807448338</v>
      </c>
      <c r="F53" s="66">
        <f t="shared" si="4"/>
        <v>-0.8864712708740563</v>
      </c>
      <c r="G53" s="66">
        <f t="shared" si="4"/>
        <v>-12.775423443738475</v>
      </c>
      <c r="H53" s="66">
        <f t="shared" si="4"/>
        <v>-5.204158138169735</v>
      </c>
      <c r="I53" s="66">
        <f t="shared" si="4"/>
        <v>30.014717640104482</v>
      </c>
      <c r="J53" s="66">
        <f t="shared" si="4"/>
        <v>-3.329594006283787</v>
      </c>
      <c r="K53" s="66">
        <f t="shared" si="4"/>
        <v>-3.808572125617571</v>
      </c>
      <c r="L53" s="66">
        <f t="shared" si="4"/>
        <v>1.8150939630109386</v>
      </c>
    </row>
    <row r="54" spans="1:12" ht="9" customHeight="1">
      <c r="A54" s="37"/>
      <c r="B54" s="66"/>
      <c r="C54" s="66"/>
      <c r="D54" s="66"/>
      <c r="E54" s="66"/>
      <c r="F54" s="66"/>
      <c r="G54" s="66"/>
      <c r="H54" s="66"/>
      <c r="I54" s="66"/>
      <c r="J54" s="66"/>
      <c r="K54" s="66"/>
      <c r="L54" s="66"/>
    </row>
    <row r="55" spans="1:12" ht="14.25" customHeight="1">
      <c r="A55" s="36" t="s">
        <v>24</v>
      </c>
      <c r="B55" s="66">
        <f aca="true" t="shared" si="5" ref="B55:L55">(B13/B34-1)*100</f>
        <v>4.548344342597188</v>
      </c>
      <c r="C55" s="66">
        <f t="shared" si="5"/>
        <v>-2.0257580569985834</v>
      </c>
      <c r="D55" s="66">
        <f t="shared" si="5"/>
        <v>-3.2316428905646566</v>
      </c>
      <c r="E55" s="66">
        <f>(E13/E34-1)*100</f>
        <v>1.0613304119149625</v>
      </c>
      <c r="F55" s="66">
        <f t="shared" si="5"/>
        <v>-3.07714189263415</v>
      </c>
      <c r="G55" s="66">
        <f t="shared" si="5"/>
        <v>9.603319798328137</v>
      </c>
      <c r="H55" s="66">
        <f t="shared" si="5"/>
        <v>2.7275143820020054</v>
      </c>
      <c r="I55" s="66">
        <f t="shared" si="5"/>
        <v>45.47834173038399</v>
      </c>
      <c r="J55" s="66">
        <f t="shared" si="5"/>
        <v>-12.069779608968712</v>
      </c>
      <c r="K55" s="66">
        <f t="shared" si="5"/>
        <v>11.167064270151371</v>
      </c>
      <c r="L55" s="66">
        <f t="shared" si="5"/>
        <v>0.4733119220957871</v>
      </c>
    </row>
    <row r="56" spans="1:12" ht="6.75" customHeight="1">
      <c r="A56" s="74"/>
      <c r="B56" s="66"/>
      <c r="C56" s="66"/>
      <c r="D56" s="66"/>
      <c r="E56" s="66"/>
      <c r="F56" s="66"/>
      <c r="G56" s="66"/>
      <c r="H56" s="66"/>
      <c r="I56" s="66"/>
      <c r="J56" s="66"/>
      <c r="K56" s="66"/>
      <c r="L56" s="66"/>
    </row>
    <row r="57" spans="1:13" ht="14.25" customHeight="1">
      <c r="A57" s="37" t="s">
        <v>53</v>
      </c>
      <c r="B57" s="66">
        <f aca="true" t="shared" si="6" ref="B57:L57">(B15/B36-1)*100</f>
        <v>-0.2684985452827804</v>
      </c>
      <c r="C57" s="66">
        <f t="shared" si="6"/>
        <v>245.89714890690666</v>
      </c>
      <c r="D57" s="66">
        <f t="shared" si="6"/>
        <v>-41.50664009035609</v>
      </c>
      <c r="E57" s="66">
        <f aca="true" t="shared" si="7" ref="E57:J57">(E15/E36-1)*100</f>
        <v>0.2033016217135808</v>
      </c>
      <c r="F57" s="66">
        <f t="shared" si="7"/>
        <v>-1.6069711212911897</v>
      </c>
      <c r="G57" s="66">
        <f t="shared" si="7"/>
        <v>-20.32126602802766</v>
      </c>
      <c r="H57" s="66">
        <f t="shared" si="7"/>
        <v>1.436402239287493</v>
      </c>
      <c r="I57" s="66">
        <f t="shared" si="7"/>
        <v>72.99399562551825</v>
      </c>
      <c r="J57" s="66">
        <f t="shared" si="7"/>
        <v>-11.094068983992244</v>
      </c>
      <c r="K57" s="66">
        <f t="shared" si="6"/>
        <v>19.25973328990045</v>
      </c>
      <c r="L57" s="66">
        <f t="shared" si="6"/>
        <v>-11.736826570712367</v>
      </c>
      <c r="M57" s="16"/>
    </row>
    <row r="58" spans="1:12" ht="6.75" customHeight="1">
      <c r="A58" s="74"/>
      <c r="B58" s="66"/>
      <c r="C58" s="66"/>
      <c r="D58" s="66"/>
      <c r="E58" s="66"/>
      <c r="F58" s="66"/>
      <c r="G58" s="66"/>
      <c r="H58" s="66"/>
      <c r="I58" s="66"/>
      <c r="J58" s="66"/>
      <c r="K58" s="66"/>
      <c r="L58" s="66"/>
    </row>
    <row r="59" spans="1:13" ht="14.25" customHeight="1">
      <c r="A59" s="37" t="s">
        <v>50</v>
      </c>
      <c r="B59" s="66">
        <f aca="true" t="shared" si="8" ref="B59:L59">+(B17/B38-1)*100</f>
        <v>-9.218389468266308</v>
      </c>
      <c r="C59" s="66">
        <f t="shared" si="8"/>
        <v>-0.5951774451044112</v>
      </c>
      <c r="D59" s="66">
        <f t="shared" si="8"/>
        <v>-7.062550071699302</v>
      </c>
      <c r="E59" s="66">
        <f>+(E17/E38-1)*100</f>
        <v>17.665516813941707</v>
      </c>
      <c r="F59" s="66">
        <f t="shared" si="8"/>
        <v>-24.67088205697835</v>
      </c>
      <c r="G59" s="66">
        <f t="shared" si="8"/>
        <v>-10.753708001210782</v>
      </c>
      <c r="H59" s="66">
        <f t="shared" si="8"/>
        <v>-6.077136620643464</v>
      </c>
      <c r="I59" s="66">
        <f t="shared" si="8"/>
        <v>74.28206622831561</v>
      </c>
      <c r="J59" s="66">
        <f t="shared" si="8"/>
        <v>-22.377751776538567</v>
      </c>
      <c r="K59" s="66">
        <f t="shared" si="8"/>
        <v>4.730488170109348</v>
      </c>
      <c r="L59" s="66">
        <f t="shared" si="8"/>
        <v>-8.135480045498788</v>
      </c>
      <c r="M59" s="16"/>
    </row>
    <row r="60" spans="1:13" ht="14.25" customHeight="1">
      <c r="A60" s="37" t="s">
        <v>13</v>
      </c>
      <c r="B60" s="66">
        <f aca="true" t="shared" si="9" ref="B60:L60">+(B18/B39-1)*100</f>
        <v>-1.6615148848699746</v>
      </c>
      <c r="C60" s="66">
        <f t="shared" si="9"/>
        <v>-18.997413752121382</v>
      </c>
      <c r="D60" s="66">
        <f t="shared" si="9"/>
        <v>-10.439796700226456</v>
      </c>
      <c r="E60" s="66">
        <f>+(E18/E39-1)*100</f>
        <v>20.167533289951667</v>
      </c>
      <c r="F60" s="66">
        <f t="shared" si="9"/>
        <v>-12.522022776698961</v>
      </c>
      <c r="G60" s="66">
        <f t="shared" si="9"/>
        <v>3.5277342884878715</v>
      </c>
      <c r="H60" s="66">
        <f t="shared" si="9"/>
        <v>3.25470499004632</v>
      </c>
      <c r="I60" s="66">
        <f t="shared" si="9"/>
        <v>95.0482973373579</v>
      </c>
      <c r="J60" s="66">
        <f t="shared" si="9"/>
        <v>13.144462270571132</v>
      </c>
      <c r="K60" s="66">
        <f t="shared" si="9"/>
        <v>15.043292786964635</v>
      </c>
      <c r="L60" s="66">
        <f t="shared" si="9"/>
        <v>1.7235445964407292</v>
      </c>
      <c r="M60" s="16"/>
    </row>
    <row r="61" spans="1:12" ht="6.75" customHeight="1">
      <c r="A61" s="74"/>
      <c r="B61" s="66"/>
      <c r="C61" s="66"/>
      <c r="D61" s="66"/>
      <c r="E61" s="66"/>
      <c r="F61" s="66"/>
      <c r="G61" s="66"/>
      <c r="H61" s="66"/>
      <c r="I61" s="66"/>
      <c r="J61" s="66"/>
      <c r="K61" s="66"/>
      <c r="L61" s="66"/>
    </row>
    <row r="62" spans="1:13" ht="14.25" customHeight="1">
      <c r="A62" s="37" t="s">
        <v>49</v>
      </c>
      <c r="B62" s="66">
        <f aca="true" t="shared" si="10" ref="B62:L62">+(B20/B41-1)*100</f>
        <v>-16.781476516933658</v>
      </c>
      <c r="C62" s="66">
        <f t="shared" si="10"/>
        <v>24.740580740901443</v>
      </c>
      <c r="D62" s="66">
        <f t="shared" si="10"/>
        <v>-6.6086936696243885</v>
      </c>
      <c r="E62" s="66">
        <f>+(E20/E41-1)*100</f>
        <v>-4.229917111691551</v>
      </c>
      <c r="F62" s="66">
        <f t="shared" si="10"/>
        <v>1.5545014033824245</v>
      </c>
      <c r="G62" s="66">
        <f t="shared" si="10"/>
        <v>18.82078661880666</v>
      </c>
      <c r="H62" s="66">
        <f t="shared" si="10"/>
        <v>-5.4072543358901</v>
      </c>
      <c r="I62" s="66">
        <f t="shared" si="10"/>
        <v>31.79130610611025</v>
      </c>
      <c r="J62" s="66">
        <f t="shared" si="10"/>
        <v>-17.7773533315153</v>
      </c>
      <c r="K62" s="66">
        <f t="shared" si="10"/>
        <v>13.809624717833469</v>
      </c>
      <c r="L62" s="66">
        <f t="shared" si="10"/>
        <v>-6.064713016612966</v>
      </c>
      <c r="M62" s="16"/>
    </row>
    <row r="63" spans="1:12" ht="7.5" customHeight="1">
      <c r="A63" s="74"/>
      <c r="B63" s="66"/>
      <c r="C63" s="66"/>
      <c r="D63" s="66"/>
      <c r="E63" s="66"/>
      <c r="F63" s="66"/>
      <c r="G63" s="66"/>
      <c r="H63" s="66"/>
      <c r="I63" s="66"/>
      <c r="J63" s="66"/>
      <c r="K63" s="66"/>
      <c r="L63" s="66"/>
    </row>
    <row r="64" spans="1:13" ht="14.25" customHeight="1">
      <c r="A64" s="37" t="s">
        <v>14</v>
      </c>
      <c r="B64" s="66">
        <f>+(B22/B43-1)*100</f>
        <v>60.18207900660182</v>
      </c>
      <c r="C64" s="66">
        <f aca="true" t="shared" si="11" ref="C64:K64">+(C22/C43-1)*100</f>
        <v>-7.276100032333488</v>
      </c>
      <c r="D64" s="66">
        <f t="shared" si="11"/>
        <v>4.947520016751983</v>
      </c>
      <c r="E64" s="66">
        <f>+(E22/E43-1)*100</f>
        <v>-11.849751951658138</v>
      </c>
      <c r="F64" s="66">
        <f t="shared" si="11"/>
        <v>6.394884815596824</v>
      </c>
      <c r="G64" s="66">
        <f t="shared" si="11"/>
        <v>-1.4202584394016116</v>
      </c>
      <c r="H64" s="66">
        <f t="shared" si="11"/>
        <v>-15.922637359870762</v>
      </c>
      <c r="I64" s="66">
        <f t="shared" si="11"/>
        <v>164.23610985337075</v>
      </c>
      <c r="J64" s="66">
        <f t="shared" si="11"/>
        <v>-17.282185453362953</v>
      </c>
      <c r="K64" s="66">
        <f t="shared" si="11"/>
        <v>27.54218697623052</v>
      </c>
      <c r="L64" s="66">
        <f>+(L22/L43-1)*100</f>
        <v>-3.4014570571961</v>
      </c>
      <c r="M64" s="16"/>
    </row>
    <row r="65" spans="1:13" ht="14.25" customHeight="1">
      <c r="A65" s="37" t="s">
        <v>15</v>
      </c>
      <c r="B65" s="66">
        <f>+(B23/B44-1)*100</f>
        <v>18.60065811223295</v>
      </c>
      <c r="C65" s="66">
        <f aca="true" t="shared" si="12" ref="C65:K65">+(C23/C44-1)*100</f>
        <v>-4.936740915325643</v>
      </c>
      <c r="D65" s="66">
        <f t="shared" si="12"/>
        <v>12.640583276005213</v>
      </c>
      <c r="E65" s="66">
        <f>+(E23/E44-1)*100</f>
        <v>5.593099960450099</v>
      </c>
      <c r="F65" s="66">
        <f t="shared" si="12"/>
        <v>33.718472248287256</v>
      </c>
      <c r="G65" s="66">
        <f t="shared" si="12"/>
        <v>109.85347640184892</v>
      </c>
      <c r="H65" s="66">
        <f t="shared" si="12"/>
        <v>14.676110353380212</v>
      </c>
      <c r="I65" s="66">
        <f t="shared" si="12"/>
        <v>110.77029872438993</v>
      </c>
      <c r="J65" s="66">
        <f t="shared" si="12"/>
        <v>-8.255591819729258</v>
      </c>
      <c r="K65" s="66">
        <f t="shared" si="12"/>
        <v>57.95288177430986</v>
      </c>
      <c r="L65" s="66">
        <f>+(L23/L44-1)*100</f>
        <v>11.73413774110459</v>
      </c>
      <c r="M65" s="16"/>
    </row>
    <row r="66" spans="1:13" ht="14.25" customHeight="1">
      <c r="A66" s="37" t="s">
        <v>27</v>
      </c>
      <c r="B66" s="66">
        <f>+(B24/B45-1)*100</f>
        <v>12.58095221544393</v>
      </c>
      <c r="C66" s="66">
        <f aca="true" t="shared" si="13" ref="C66:K66">+(C24/C45-1)*100</f>
        <v>32.67351412300681</v>
      </c>
      <c r="D66" s="66">
        <f t="shared" si="13"/>
        <v>0.16193841883063165</v>
      </c>
      <c r="E66" s="66">
        <f>+(E24/E45-1)*100</f>
        <v>-4.556810483272189</v>
      </c>
      <c r="F66" s="66">
        <f t="shared" si="13"/>
        <v>-69.80132732042392</v>
      </c>
      <c r="G66" s="66">
        <f t="shared" si="13"/>
        <v>27.157994606380598</v>
      </c>
      <c r="H66" s="66">
        <f t="shared" si="13"/>
        <v>-4.2459400512122825</v>
      </c>
      <c r="I66" s="66">
        <f t="shared" si="13"/>
        <v>74.30500568755247</v>
      </c>
      <c r="J66" s="66">
        <f t="shared" si="13"/>
        <v>-0.3236200929275457</v>
      </c>
      <c r="K66" s="66">
        <f t="shared" si="13"/>
        <v>-17.957932016191013</v>
      </c>
      <c r="L66" s="66">
        <f>+(L24/L45-1)*100</f>
        <v>-1.6914946166653122</v>
      </c>
      <c r="M66" s="16"/>
    </row>
    <row r="67" spans="1:12" ht="7.5" customHeight="1">
      <c r="A67" s="74"/>
      <c r="B67" s="66"/>
      <c r="C67" s="66"/>
      <c r="D67" s="66"/>
      <c r="E67" s="66"/>
      <c r="F67" s="66"/>
      <c r="G67" s="66"/>
      <c r="H67" s="66"/>
      <c r="I67" s="66"/>
      <c r="J67" s="66"/>
      <c r="K67" s="66"/>
      <c r="L67" s="66"/>
    </row>
    <row r="68" spans="1:13" ht="14.25" customHeight="1">
      <c r="A68" s="37" t="s">
        <v>22</v>
      </c>
      <c r="B68" s="66">
        <f aca="true" t="shared" si="14" ref="B68:L68">+(B26/B47-1)*100</f>
        <v>13.036760875029119</v>
      </c>
      <c r="C68" s="66">
        <f t="shared" si="14"/>
        <v>-9.384245877578712</v>
      </c>
      <c r="D68" s="66">
        <f t="shared" si="14"/>
        <v>-9.039898956267155</v>
      </c>
      <c r="E68" s="66">
        <f>+(E26/E47-1)*100</f>
        <v>-4.939064320999487</v>
      </c>
      <c r="F68" s="66">
        <f t="shared" si="14"/>
        <v>31.400391080097666</v>
      </c>
      <c r="G68" s="66">
        <f t="shared" si="14"/>
        <v>30.292184210002503</v>
      </c>
      <c r="H68" s="66">
        <f t="shared" si="14"/>
        <v>19.18825213535509</v>
      </c>
      <c r="I68" s="66">
        <f t="shared" si="14"/>
        <v>41.63680890108188</v>
      </c>
      <c r="J68" s="66">
        <f t="shared" si="14"/>
        <v>-30.04397485649465</v>
      </c>
      <c r="K68" s="66">
        <f t="shared" si="14"/>
        <v>-3.5784738926025073</v>
      </c>
      <c r="L68" s="66">
        <f t="shared" si="14"/>
        <v>-0.46504444651930266</v>
      </c>
      <c r="M68" s="16"/>
    </row>
    <row r="69" spans="1:12" ht="7.5" customHeight="1">
      <c r="A69" s="74"/>
      <c r="B69" s="66"/>
      <c r="C69" s="66"/>
      <c r="D69" s="66"/>
      <c r="E69" s="66"/>
      <c r="F69" s="66"/>
      <c r="G69" s="66"/>
      <c r="H69" s="66"/>
      <c r="I69" s="66"/>
      <c r="J69" s="66"/>
      <c r="K69" s="66"/>
      <c r="L69" s="66"/>
    </row>
    <row r="70" spans="1:12" ht="14.25" customHeight="1">
      <c r="A70" s="75" t="s">
        <v>23</v>
      </c>
      <c r="B70" s="66">
        <f aca="true" t="shared" si="15" ref="B70:L70">+(B28/B49-1)*100</f>
        <v>3.8820939571321933</v>
      </c>
      <c r="C70" s="66">
        <f t="shared" si="15"/>
        <v>6.293080144193164</v>
      </c>
      <c r="D70" s="66">
        <f t="shared" si="15"/>
        <v>-1.6311337987520935</v>
      </c>
      <c r="E70" s="66">
        <f t="shared" si="15"/>
        <v>1.0626292114076952</v>
      </c>
      <c r="F70" s="66">
        <f t="shared" si="15"/>
        <v>-2.591231621185308</v>
      </c>
      <c r="G70" s="66">
        <f t="shared" si="15"/>
        <v>2.5710206171805083</v>
      </c>
      <c r="H70" s="66">
        <f t="shared" si="15"/>
        <v>2.237973777924762</v>
      </c>
      <c r="I70" s="66">
        <f t="shared" si="15"/>
        <v>37.00390337127366</v>
      </c>
      <c r="J70" s="66">
        <f t="shared" si="15"/>
        <v>-10.544174282027763</v>
      </c>
      <c r="K70" s="66">
        <f t="shared" si="15"/>
        <v>5.64353845769785</v>
      </c>
      <c r="L70" s="66">
        <f t="shared" si="15"/>
        <v>0.6987324075376833</v>
      </c>
    </row>
    <row r="71" spans="1:12" ht="9" customHeight="1" thickBot="1">
      <c r="A71" s="59"/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</row>
    <row r="72" spans="1:12" ht="2.25" customHeight="1">
      <c r="A72" s="69"/>
      <c r="B72" s="70"/>
      <c r="C72" s="70"/>
      <c r="D72" s="70"/>
      <c r="E72" s="70"/>
      <c r="F72" s="70"/>
      <c r="G72" s="70"/>
      <c r="H72" s="70"/>
      <c r="I72" s="70"/>
      <c r="J72" s="70"/>
      <c r="K72" s="70"/>
      <c r="L72" s="70"/>
    </row>
    <row r="73" spans="1:12" s="12" customFormat="1" ht="12">
      <c r="A73" s="56" t="s">
        <v>48</v>
      </c>
      <c r="B73" s="57"/>
      <c r="C73" s="57"/>
      <c r="D73" s="57"/>
      <c r="E73" s="57"/>
      <c r="F73" s="57"/>
      <c r="G73" s="57"/>
      <c r="H73" s="57"/>
      <c r="I73" s="57"/>
      <c r="J73" s="57"/>
      <c r="K73" s="57"/>
      <c r="L73" s="57"/>
    </row>
    <row r="74" spans="2:12" s="12" customFormat="1" ht="12"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</row>
  </sheetData>
  <sheetProtection/>
  <printOptions/>
  <pageMargins left="0.5905511811023623" right="0.5905511811023623" top="0.7874015748031497" bottom="0.7874015748031497" header="0" footer="0"/>
  <pageSetup fitToHeight="1" fitToWidth="1" horizontalDpi="600" verticalDpi="600" orientation="portrait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74"/>
  <sheetViews>
    <sheetView zoomScalePageLayoutView="0" workbookViewId="0" topLeftCell="A1">
      <pane xSplit="1" ySplit="7" topLeftCell="B8" activePane="bottomRight" state="frozen"/>
      <selection pane="topLeft" activeCell="L84" sqref="L84"/>
      <selection pane="topRight" activeCell="L84" sqref="L84"/>
      <selection pane="bottomLeft" activeCell="L84" sqref="L84"/>
      <selection pane="bottomRight" activeCell="A76" sqref="A76:IV103"/>
    </sheetView>
  </sheetViews>
  <sheetFormatPr defaultColWidth="11.421875" defaultRowHeight="12.75"/>
  <cols>
    <col min="1" max="1" width="13.57421875" style="0" customWidth="1"/>
    <col min="2" max="7" width="8.57421875" style="0" customWidth="1"/>
    <col min="8" max="8" width="10.140625" style="0" customWidth="1"/>
    <col min="9" max="11" width="8.57421875" style="0" customWidth="1"/>
    <col min="12" max="12" width="8.8515625" style="0" customWidth="1"/>
    <col min="13" max="13" width="14.28125" style="0" bestFit="1" customWidth="1"/>
  </cols>
  <sheetData>
    <row r="1" spans="1:14" ht="12.75">
      <c r="A1" s="36" t="s">
        <v>62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N1" s="28"/>
    </row>
    <row r="2" spans="1:12" ht="12.75">
      <c r="A2" s="36" t="s">
        <v>68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</row>
    <row r="3" spans="1:12" ht="12.75">
      <c r="A3" s="36" t="s">
        <v>21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</row>
    <row r="4" spans="1:12" ht="12.75">
      <c r="A4" s="37" t="str">
        <f>+Exp!A4</f>
        <v>Enero-setiembre 2012-2013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</row>
    <row r="5" spans="1:12" ht="12.75">
      <c r="A5" s="37" t="s">
        <v>36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35"/>
    </row>
    <row r="6" spans="1:12" ht="9" customHeight="1" thickBot="1">
      <c r="A6" s="59"/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</row>
    <row r="7" spans="1:12" ht="15" customHeight="1" thickBot="1">
      <c r="A7" s="90" t="s">
        <v>0</v>
      </c>
      <c r="B7" s="88" t="s">
        <v>30</v>
      </c>
      <c r="C7" s="88" t="s">
        <v>31</v>
      </c>
      <c r="D7" s="88" t="s">
        <v>32</v>
      </c>
      <c r="E7" s="89" t="s">
        <v>33</v>
      </c>
      <c r="F7" s="88" t="s">
        <v>40</v>
      </c>
      <c r="G7" s="88" t="s">
        <v>34</v>
      </c>
      <c r="H7" s="88" t="s">
        <v>35</v>
      </c>
      <c r="I7" s="88" t="s">
        <v>41</v>
      </c>
      <c r="J7" s="88" t="s">
        <v>37</v>
      </c>
      <c r="K7" s="88" t="s">
        <v>38</v>
      </c>
      <c r="L7" s="88" t="s">
        <v>18</v>
      </c>
    </row>
    <row r="8" spans="1:12" ht="7.5" customHeight="1">
      <c r="A8" s="60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</row>
    <row r="9" spans="1:12" ht="15">
      <c r="A9" s="61"/>
      <c r="B9" s="61" t="str">
        <f>+Exp!B10</f>
        <v>Enero-setiembre 2013</v>
      </c>
      <c r="C9" s="61"/>
      <c r="D9" s="62"/>
      <c r="E9" s="62"/>
      <c r="F9" s="62"/>
      <c r="G9" s="62"/>
      <c r="H9" s="62"/>
      <c r="I9" s="62"/>
      <c r="J9" s="62"/>
      <c r="K9" s="62"/>
      <c r="L9" s="62"/>
    </row>
    <row r="10" spans="1:12" ht="7.5" customHeight="1">
      <c r="A10" s="63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</row>
    <row r="11" spans="1:12" ht="14.25" customHeight="1">
      <c r="A11" s="36" t="s">
        <v>6</v>
      </c>
      <c r="B11" s="64">
        <f>+Imp!B25</f>
        <v>20125.48017367</v>
      </c>
      <c r="C11" s="64">
        <f>+Imp!C25</f>
        <v>3159.0776730000007</v>
      </c>
      <c r="D11" s="64">
        <f>+Imp!D25</f>
        <v>28373.728</v>
      </c>
      <c r="E11" s="64">
        <f>+Imp!E25</f>
        <v>14021.284348640012</v>
      </c>
      <c r="F11" s="64">
        <f>+Imp!F25</f>
        <v>10354.298007079999</v>
      </c>
      <c r="G11" s="64">
        <f>+Imp!G25</f>
        <v>6340.138778</v>
      </c>
      <c r="H11" s="64">
        <f>+Imp!H25</f>
        <v>7223.564720999999</v>
      </c>
      <c r="I11" s="64">
        <f>+Imp!I25</f>
        <v>4148.599139000001</v>
      </c>
      <c r="J11" s="64">
        <f>+Imp!J25</f>
        <v>9018.672502499998</v>
      </c>
      <c r="K11" s="64">
        <f>+Imp!K25</f>
        <v>3539.508387</v>
      </c>
      <c r="L11" s="64">
        <f>SUM(B11:K11)</f>
        <v>106304.35172989</v>
      </c>
    </row>
    <row r="12" spans="1:12" ht="9" customHeight="1">
      <c r="A12" s="37"/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</row>
    <row r="13" spans="1:14" ht="14.25" customHeight="1">
      <c r="A13" s="36" t="s">
        <v>24</v>
      </c>
      <c r="B13" s="64">
        <f>SUM(B15:B26)</f>
        <v>36212.07118361999</v>
      </c>
      <c r="C13" s="64">
        <f aca="true" t="shared" si="0" ref="C13:K13">SUM(C15:C26)</f>
        <v>3434.834183</v>
      </c>
      <c r="D13" s="64">
        <f t="shared" si="0"/>
        <v>150885.035</v>
      </c>
      <c r="E13" s="64">
        <f t="shared" si="0"/>
        <v>40040.37983688015</v>
      </c>
      <c r="F13" s="64">
        <f t="shared" si="0"/>
        <v>33726.20314918998</v>
      </c>
      <c r="G13" s="64">
        <f t="shared" si="0"/>
        <v>14078.735619999994</v>
      </c>
      <c r="H13" s="64">
        <f t="shared" si="0"/>
        <v>276964.3372260001</v>
      </c>
      <c r="I13" s="64">
        <f t="shared" si="0"/>
        <v>4916.519322999999</v>
      </c>
      <c r="J13" s="64">
        <f t="shared" si="0"/>
        <v>23648.506889499997</v>
      </c>
      <c r="K13" s="64">
        <f t="shared" si="0"/>
        <v>5051.182884</v>
      </c>
      <c r="L13" s="64">
        <f>SUM(B13:K13)</f>
        <v>588957.8052951902</v>
      </c>
      <c r="M13" s="2"/>
      <c r="N13" s="2"/>
    </row>
    <row r="14" spans="1:14" ht="6.75" customHeight="1">
      <c r="A14" s="74"/>
      <c r="B14" s="64"/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2"/>
      <c r="N14" s="2"/>
    </row>
    <row r="15" spans="1:23" ht="15" customHeight="1">
      <c r="A15" s="37" t="s">
        <v>53</v>
      </c>
      <c r="B15" s="64">
        <v>1556.5208580699998</v>
      </c>
      <c r="C15" s="64">
        <v>6.173545999999998</v>
      </c>
      <c r="D15" s="64">
        <v>2227.183</v>
      </c>
      <c r="E15" s="64">
        <v>1122.4349038800026</v>
      </c>
      <c r="F15" s="64">
        <v>637.13915316</v>
      </c>
      <c r="G15" s="64">
        <v>251.48668199999986</v>
      </c>
      <c r="H15" s="64">
        <v>3955.6486270000005</v>
      </c>
      <c r="I15" s="64">
        <v>23.128825</v>
      </c>
      <c r="J15" s="64">
        <v>214.04274199999998</v>
      </c>
      <c r="K15" s="64">
        <v>8.052334</v>
      </c>
      <c r="L15" s="64">
        <f>SUM(B15:K15)</f>
        <v>10001.810671110003</v>
      </c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</row>
    <row r="16" spans="1:23" ht="6.75" customHeight="1">
      <c r="A16" s="74"/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</row>
    <row r="17" spans="1:23" ht="14.25" customHeight="1">
      <c r="A17" s="37" t="s">
        <v>50</v>
      </c>
      <c r="B17" s="64">
        <v>341.04491681999997</v>
      </c>
      <c r="C17" s="64">
        <v>37.846184</v>
      </c>
      <c r="D17" s="64">
        <v>2257.244</v>
      </c>
      <c r="E17" s="64">
        <v>1195.425237560006</v>
      </c>
      <c r="F17" s="64">
        <v>730.93017483</v>
      </c>
      <c r="G17" s="64">
        <v>207.136</v>
      </c>
      <c r="H17" s="64">
        <v>7144.154495</v>
      </c>
      <c r="I17" s="64">
        <v>16.372329</v>
      </c>
      <c r="J17" s="64">
        <v>460.88928070000003</v>
      </c>
      <c r="K17" s="64">
        <v>36.199817</v>
      </c>
      <c r="L17" s="64">
        <f>SUM(B17:K17)</f>
        <v>12427.242434910007</v>
      </c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</row>
    <row r="18" spans="1:23" ht="14.25" customHeight="1">
      <c r="A18" s="37" t="s">
        <v>13</v>
      </c>
      <c r="B18" s="64">
        <v>5977.18606487</v>
      </c>
      <c r="C18" s="64">
        <v>899.7707409999999</v>
      </c>
      <c r="D18" s="64">
        <v>27075.736</v>
      </c>
      <c r="E18" s="64">
        <v>11486.094501820116</v>
      </c>
      <c r="F18" s="64">
        <v>12344.59991372</v>
      </c>
      <c r="G18" s="64">
        <v>5842.009143</v>
      </c>
      <c r="H18" s="64">
        <v>139945.198575</v>
      </c>
      <c r="I18" s="64">
        <v>586.002468</v>
      </c>
      <c r="J18" s="64">
        <v>6551.8506646</v>
      </c>
      <c r="K18" s="64">
        <v>734.427</v>
      </c>
      <c r="L18" s="64">
        <f>SUM(B18:K18)</f>
        <v>211442.8750720101</v>
      </c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</row>
    <row r="19" spans="1:23" ht="6.75" customHeight="1">
      <c r="A19" s="74"/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</row>
    <row r="20" spans="1:23" ht="14.25" customHeight="1">
      <c r="A20" s="37" t="s">
        <v>49</v>
      </c>
      <c r="B20" s="64">
        <v>10350.208086580002</v>
      </c>
      <c r="C20" s="64">
        <v>765.741901</v>
      </c>
      <c r="D20" s="64">
        <v>38067.423</v>
      </c>
      <c r="E20" s="64">
        <v>8860.181423890002</v>
      </c>
      <c r="F20" s="64">
        <v>5854.300783840001</v>
      </c>
      <c r="G20" s="64">
        <v>2206.014445</v>
      </c>
      <c r="H20" s="64">
        <v>32668.076579</v>
      </c>
      <c r="I20" s="64">
        <v>787.941635</v>
      </c>
      <c r="J20" s="64">
        <v>3973.3364565999996</v>
      </c>
      <c r="K20" s="64">
        <v>1143.791472</v>
      </c>
      <c r="L20" s="64">
        <f>SUM(B20:K20)</f>
        <v>104677.01578290999</v>
      </c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</row>
    <row r="21" spans="1:23" ht="7.5" customHeight="1">
      <c r="A21" s="74"/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</row>
    <row r="22" spans="1:23" ht="14.25" customHeight="1">
      <c r="A22" s="37" t="s">
        <v>14</v>
      </c>
      <c r="B22" s="64">
        <v>1132.65953401</v>
      </c>
      <c r="C22" s="64">
        <v>324.035691</v>
      </c>
      <c r="D22" s="64">
        <v>5249.213</v>
      </c>
      <c r="E22" s="64">
        <v>1459.7182181599976</v>
      </c>
      <c r="F22" s="64">
        <v>1095.5739557400002</v>
      </c>
      <c r="G22" s="64">
        <v>464.26194100000004</v>
      </c>
      <c r="H22" s="64">
        <v>12843.554306</v>
      </c>
      <c r="I22" s="64">
        <v>206.317646</v>
      </c>
      <c r="J22" s="64">
        <v>1122.5957250000001</v>
      </c>
      <c r="K22" s="64">
        <v>70.467867</v>
      </c>
      <c r="L22" s="64">
        <f>SUM(B22:K22)</f>
        <v>23968.39788391</v>
      </c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</row>
    <row r="23" spans="1:23" ht="14.25" customHeight="1">
      <c r="A23" s="37" t="s">
        <v>15</v>
      </c>
      <c r="B23" s="64">
        <v>8480.8715956</v>
      </c>
      <c r="C23" s="64">
        <v>873.029965</v>
      </c>
      <c r="D23" s="64">
        <v>28428.437</v>
      </c>
      <c r="E23" s="64">
        <v>9995.822813890047</v>
      </c>
      <c r="F23" s="64">
        <v>7502.962542419999</v>
      </c>
      <c r="G23" s="64">
        <v>2785.3659300000004</v>
      </c>
      <c r="H23" s="64">
        <v>45197.360404</v>
      </c>
      <c r="I23" s="64">
        <v>2563.198307</v>
      </c>
      <c r="J23" s="64">
        <v>6218.2989664</v>
      </c>
      <c r="K23" s="64">
        <v>1456.464869</v>
      </c>
      <c r="L23" s="64">
        <f>SUM(B23:K23)</f>
        <v>113501.81239331004</v>
      </c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</row>
    <row r="24" spans="1:23" ht="14.25" customHeight="1">
      <c r="A24" s="37" t="s">
        <v>27</v>
      </c>
      <c r="B24" s="64">
        <v>2836.02353627</v>
      </c>
      <c r="C24" s="64">
        <v>249.88134100000002</v>
      </c>
      <c r="D24" s="64">
        <v>15009.002</v>
      </c>
      <c r="E24" s="64">
        <v>3140.2356592199885</v>
      </c>
      <c r="F24" s="64">
        <v>2029.21857291</v>
      </c>
      <c r="G24" s="64">
        <v>1316.51703</v>
      </c>
      <c r="H24" s="64">
        <v>25549.691374</v>
      </c>
      <c r="I24" s="64">
        <v>381.267135</v>
      </c>
      <c r="J24" s="64">
        <v>2362.9269650999995</v>
      </c>
      <c r="K24" s="64">
        <v>411.95610800000003</v>
      </c>
      <c r="L24" s="64">
        <f>SUM(B24:K24)</f>
        <v>53286.71972149999</v>
      </c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</row>
    <row r="25" spans="1:23" ht="7.5" customHeight="1">
      <c r="A25" s="74"/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</row>
    <row r="26" spans="1:23" ht="14.25" customHeight="1">
      <c r="A26" s="37" t="s">
        <v>22</v>
      </c>
      <c r="B26" s="64">
        <v>5537.55659139999</v>
      </c>
      <c r="C26" s="64">
        <v>278.35481400000026</v>
      </c>
      <c r="D26" s="64">
        <v>32570.797</v>
      </c>
      <c r="E26" s="64">
        <v>2780.467078459993</v>
      </c>
      <c r="F26" s="64">
        <v>3531.4780525699853</v>
      </c>
      <c r="G26" s="64">
        <v>1005.9444489999935</v>
      </c>
      <c r="H26" s="64">
        <v>9660.652866000057</v>
      </c>
      <c r="I26" s="64">
        <v>352.29097799999823</v>
      </c>
      <c r="J26" s="64">
        <v>2744.5660890999957</v>
      </c>
      <c r="K26" s="64">
        <v>1189.8234170000003</v>
      </c>
      <c r="L26" s="64">
        <f>SUM(B26:K26)</f>
        <v>59651.931335530004</v>
      </c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</row>
    <row r="27" spans="1:14" ht="9" customHeight="1">
      <c r="A27" s="74"/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2"/>
      <c r="N27" s="2"/>
    </row>
    <row r="28" spans="1:14" ht="14.25" customHeight="1">
      <c r="A28" s="75" t="s">
        <v>23</v>
      </c>
      <c r="B28" s="64">
        <f aca="true" t="shared" si="1" ref="B28:K28">+B11+B13</f>
        <v>56337.551357289994</v>
      </c>
      <c r="C28" s="64">
        <f t="shared" si="1"/>
        <v>6593.911856000001</v>
      </c>
      <c r="D28" s="64">
        <f t="shared" si="1"/>
        <v>179258.763</v>
      </c>
      <c r="E28" s="64">
        <f t="shared" si="1"/>
        <v>54061.66418552016</v>
      </c>
      <c r="F28" s="64">
        <f t="shared" si="1"/>
        <v>44080.50115626998</v>
      </c>
      <c r="G28" s="64">
        <f t="shared" si="1"/>
        <v>20418.874397999993</v>
      </c>
      <c r="H28" s="64">
        <f t="shared" si="1"/>
        <v>284187.90194700006</v>
      </c>
      <c r="I28" s="64">
        <f t="shared" si="1"/>
        <v>9065.118461999999</v>
      </c>
      <c r="J28" s="64">
        <f t="shared" si="1"/>
        <v>32667.179391999995</v>
      </c>
      <c r="K28" s="64">
        <f t="shared" si="1"/>
        <v>8590.691271</v>
      </c>
      <c r="L28" s="64">
        <f>SUM(B28:K28)</f>
        <v>695262.1570250802</v>
      </c>
      <c r="M28" s="2"/>
      <c r="N28" s="2"/>
    </row>
    <row r="29" spans="1:12" ht="9" customHeight="1">
      <c r="A29" s="35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</row>
    <row r="30" spans="1:12" ht="15">
      <c r="A30" s="61"/>
      <c r="B30" s="61" t="str">
        <f>+Exp!B27</f>
        <v>Enero-setiembre 2012</v>
      </c>
      <c r="C30" s="61"/>
      <c r="D30" s="62"/>
      <c r="E30" s="62"/>
      <c r="F30" s="62"/>
      <c r="G30" s="62"/>
      <c r="H30" s="62"/>
      <c r="I30" s="62"/>
      <c r="J30" s="62"/>
      <c r="K30" s="62"/>
      <c r="L30" s="62"/>
    </row>
    <row r="31" spans="1:12" ht="7.5" customHeight="1">
      <c r="A31" s="63"/>
      <c r="B31" s="35"/>
      <c r="C31" s="35"/>
      <c r="D31" s="62"/>
      <c r="E31" s="62"/>
      <c r="F31" s="62"/>
      <c r="G31" s="62"/>
      <c r="H31" s="62"/>
      <c r="I31" s="62"/>
      <c r="J31" s="62"/>
      <c r="K31" s="62"/>
      <c r="L31" s="35"/>
    </row>
    <row r="32" spans="1:12" ht="14.25" customHeight="1">
      <c r="A32" s="36" t="s">
        <v>6</v>
      </c>
      <c r="B32" s="64">
        <f>+Imp!B42</f>
        <v>17834.57373823</v>
      </c>
      <c r="C32" s="64">
        <f>+Imp!C42</f>
        <v>3302.3346309999997</v>
      </c>
      <c r="D32" s="64">
        <f>+Imp!D42</f>
        <v>26378.036</v>
      </c>
      <c r="E32" s="64">
        <f>+Imp!E42</f>
        <v>14712.579225229973</v>
      </c>
      <c r="F32" s="64">
        <f>+Imp!F42</f>
        <v>12054.729680029997</v>
      </c>
      <c r="G32" s="64">
        <f>+Imp!G42</f>
        <v>6298.734330000001</v>
      </c>
      <c r="H32" s="64">
        <f>+Imp!H42</f>
        <v>6825.738553</v>
      </c>
      <c r="I32" s="64">
        <f>+Imp!I42</f>
        <v>3930.9584239999995</v>
      </c>
      <c r="J32" s="64">
        <f>+Imp!J42</f>
        <v>9099.992525300002</v>
      </c>
      <c r="K32" s="64">
        <f>+Imp!K42</f>
        <v>3932.9862610000005</v>
      </c>
      <c r="L32" s="64">
        <f>SUM(B32:K32)</f>
        <v>104370.66336778997</v>
      </c>
    </row>
    <row r="33" spans="1:12" ht="9" customHeight="1">
      <c r="A33" s="37"/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</row>
    <row r="34" spans="1:14" ht="14.25" customHeight="1">
      <c r="A34" s="36" t="s">
        <v>24</v>
      </c>
      <c r="B34" s="64">
        <f>SUM(B36:B47)</f>
        <v>33066.561838969996</v>
      </c>
      <c r="C34" s="64">
        <f aca="true" t="shared" si="2" ref="C34:K34">SUM(C36:C47)</f>
        <v>2582.8805040000007</v>
      </c>
      <c r="D34" s="64">
        <f t="shared" si="2"/>
        <v>138517.90399999998</v>
      </c>
      <c r="E34" s="64">
        <f t="shared" si="2"/>
        <v>37479.83124884007</v>
      </c>
      <c r="F34" s="64">
        <f t="shared" si="2"/>
        <v>32183.003710430014</v>
      </c>
      <c r="G34" s="64">
        <f t="shared" si="2"/>
        <v>12724.915765000002</v>
      </c>
      <c r="H34" s="64">
        <f t="shared" si="2"/>
        <v>266436.76725299994</v>
      </c>
      <c r="I34" s="64">
        <f t="shared" si="2"/>
        <v>4492.723138000001</v>
      </c>
      <c r="J34" s="64">
        <f t="shared" si="2"/>
        <v>22270.314368199997</v>
      </c>
      <c r="K34" s="64">
        <f t="shared" si="2"/>
        <v>4789.241401</v>
      </c>
      <c r="L34" s="64">
        <f>SUM(B34:K34)</f>
        <v>554544.14322744</v>
      </c>
      <c r="M34" s="2"/>
      <c r="N34" s="2"/>
    </row>
    <row r="35" spans="1:14" ht="6.75" customHeight="1">
      <c r="A35" s="74"/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2"/>
      <c r="N35" s="2"/>
    </row>
    <row r="36" spans="1:23" ht="14.25" customHeight="1">
      <c r="A36" s="37" t="s">
        <v>53</v>
      </c>
      <c r="B36" s="64">
        <v>1680.20641221</v>
      </c>
      <c r="C36" s="64">
        <v>4.858577</v>
      </c>
      <c r="D36" s="64">
        <v>1325.467</v>
      </c>
      <c r="E36" s="64">
        <v>1371.1200917200028</v>
      </c>
      <c r="F36" s="64">
        <v>745.4735257899998</v>
      </c>
      <c r="G36" s="64">
        <v>347.30367599999965</v>
      </c>
      <c r="H36" s="64">
        <v>3990.530041</v>
      </c>
      <c r="I36" s="64">
        <v>2.667268</v>
      </c>
      <c r="J36" s="64">
        <v>206.74340289999995</v>
      </c>
      <c r="K36" s="64">
        <v>18.882576</v>
      </c>
      <c r="L36" s="64">
        <f>SUM(B36:K36)</f>
        <v>9693.252570620001</v>
      </c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</row>
    <row r="37" spans="1:23" ht="6.75" customHeight="1">
      <c r="A37" s="74"/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</row>
    <row r="38" spans="1:23" ht="14.25" customHeight="1">
      <c r="A38" s="37" t="s">
        <v>50</v>
      </c>
      <c r="B38" s="64">
        <v>392.89354013999997</v>
      </c>
      <c r="C38" s="64">
        <v>36.968706</v>
      </c>
      <c r="D38" s="64">
        <v>2258.427</v>
      </c>
      <c r="E38" s="64">
        <v>817.0298413199994</v>
      </c>
      <c r="F38" s="64">
        <v>840.7662709</v>
      </c>
      <c r="G38" s="64">
        <v>223.032</v>
      </c>
      <c r="H38" s="64">
        <v>7181.467442</v>
      </c>
      <c r="I38" s="64">
        <v>11.474554</v>
      </c>
      <c r="J38" s="64">
        <v>433.92650660000004</v>
      </c>
      <c r="K38" s="64">
        <v>30.167531</v>
      </c>
      <c r="L38" s="64">
        <f>SUM(B38:K38)</f>
        <v>12226.15339196</v>
      </c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</row>
    <row r="39" spans="1:23" ht="14.25" customHeight="1">
      <c r="A39" s="37" t="s">
        <v>13</v>
      </c>
      <c r="B39" s="64">
        <v>6517.41075674</v>
      </c>
      <c r="C39" s="64">
        <v>618.935328</v>
      </c>
      <c r="D39" s="64">
        <v>23988.12</v>
      </c>
      <c r="E39" s="64">
        <v>11815.679592930013</v>
      </c>
      <c r="F39" s="64">
        <v>10655.99832168</v>
      </c>
      <c r="G39" s="64">
        <v>5051.910187999999</v>
      </c>
      <c r="H39" s="64">
        <v>137015.117991</v>
      </c>
      <c r="I39" s="64">
        <v>684.509897</v>
      </c>
      <c r="J39" s="64">
        <v>5879.603257299999</v>
      </c>
      <c r="K39" s="64">
        <v>809.898632</v>
      </c>
      <c r="L39" s="64">
        <f>SUM(B39:K39)</f>
        <v>203037.18396465003</v>
      </c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</row>
    <row r="40" spans="1:23" ht="6.75" customHeight="1">
      <c r="A40" s="74"/>
      <c r="B40" s="64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</row>
    <row r="41" spans="1:23" ht="14.25" customHeight="1">
      <c r="A41" s="37" t="s">
        <v>49</v>
      </c>
      <c r="B41" s="64">
        <v>9369.898296720003</v>
      </c>
      <c r="C41" s="64">
        <v>579.325929</v>
      </c>
      <c r="D41" s="64">
        <v>35248.38</v>
      </c>
      <c r="E41" s="64">
        <v>7361.447127450001</v>
      </c>
      <c r="F41" s="64">
        <v>5466.069312720001</v>
      </c>
      <c r="G41" s="64">
        <v>2097.396108</v>
      </c>
      <c r="H41" s="64">
        <v>30543.211492</v>
      </c>
      <c r="I41" s="64">
        <v>563.865186</v>
      </c>
      <c r="J41" s="64">
        <v>3751.3105328</v>
      </c>
      <c r="K41" s="64">
        <v>1052.76455</v>
      </c>
      <c r="L41" s="64">
        <f>SUM(B41:K41)</f>
        <v>96033.66853469</v>
      </c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</row>
    <row r="42" spans="1:23" ht="7.5" customHeight="1">
      <c r="A42" s="74"/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</row>
    <row r="43" spans="1:23" ht="14.25" customHeight="1">
      <c r="A43" s="37" t="s">
        <v>14</v>
      </c>
      <c r="B43" s="64">
        <v>1071.5174355000001</v>
      </c>
      <c r="C43" s="64">
        <v>250.84887899999998</v>
      </c>
      <c r="D43" s="64">
        <v>6079.201</v>
      </c>
      <c r="E43" s="64">
        <v>1510.2530280200053</v>
      </c>
      <c r="F43" s="64">
        <v>1258.63246596</v>
      </c>
      <c r="G43" s="64">
        <v>587.116141</v>
      </c>
      <c r="H43" s="64">
        <v>12896.295517999999</v>
      </c>
      <c r="I43" s="64">
        <v>234.10289600000002</v>
      </c>
      <c r="J43" s="64">
        <v>1133.8651499</v>
      </c>
      <c r="K43" s="64">
        <v>76.351872</v>
      </c>
      <c r="L43" s="64">
        <f>SUM(B43:K43)</f>
        <v>25098.184385380002</v>
      </c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</row>
    <row r="44" spans="1:23" ht="14.25" customHeight="1">
      <c r="A44" s="37" t="s">
        <v>15</v>
      </c>
      <c r="B44" s="64">
        <v>6942.901236579999</v>
      </c>
      <c r="C44" s="64">
        <v>782.611095</v>
      </c>
      <c r="D44" s="64">
        <v>25739.715</v>
      </c>
      <c r="E44" s="64">
        <v>9081.720426040052</v>
      </c>
      <c r="F44" s="64">
        <v>7169.67721101</v>
      </c>
      <c r="G44" s="64">
        <v>2276.54599</v>
      </c>
      <c r="H44" s="64">
        <v>41342.078638</v>
      </c>
      <c r="I44" s="64">
        <v>2316.481851</v>
      </c>
      <c r="J44" s="64">
        <v>5737.066309899999</v>
      </c>
      <c r="K44" s="64">
        <v>1190.27755</v>
      </c>
      <c r="L44" s="64">
        <f>SUM(B44:K44)</f>
        <v>102579.07530753005</v>
      </c>
      <c r="M44" s="25"/>
      <c r="N44" s="2"/>
      <c r="O44" s="2"/>
      <c r="P44" s="2"/>
      <c r="Q44" s="2"/>
      <c r="R44" s="2"/>
      <c r="S44" s="2"/>
      <c r="T44" s="2"/>
      <c r="U44" s="2"/>
      <c r="V44" s="2"/>
      <c r="W44" s="2"/>
    </row>
    <row r="45" spans="1:23" ht="14.25" customHeight="1">
      <c r="A45" s="37" t="s">
        <v>27</v>
      </c>
      <c r="B45" s="64">
        <v>2628.07416453</v>
      </c>
      <c r="C45" s="64">
        <v>163.419948</v>
      </c>
      <c r="D45" s="64">
        <v>15353.003</v>
      </c>
      <c r="E45" s="64">
        <v>2921.6679507800022</v>
      </c>
      <c r="F45" s="64">
        <v>2190.0709059799997</v>
      </c>
      <c r="G45" s="64">
        <v>1155.693447</v>
      </c>
      <c r="H45" s="64">
        <v>23617.781526999996</v>
      </c>
      <c r="I45" s="64">
        <v>369.001089</v>
      </c>
      <c r="J45" s="64">
        <v>2285.1400045</v>
      </c>
      <c r="K45" s="64">
        <v>365.00913799999995</v>
      </c>
      <c r="L45" s="64">
        <f>SUM(B45:K45)</f>
        <v>51048.86117479</v>
      </c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</row>
    <row r="46" spans="1:23" ht="7.5" customHeight="1">
      <c r="A46" s="74"/>
      <c r="B46" s="64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</row>
    <row r="47" spans="1:23" ht="14.25" customHeight="1">
      <c r="A47" s="37" t="s">
        <v>22</v>
      </c>
      <c r="B47" s="64">
        <v>4463.659996549994</v>
      </c>
      <c r="C47" s="64">
        <v>145.91204200000035</v>
      </c>
      <c r="D47" s="64">
        <v>28525.591</v>
      </c>
      <c r="E47" s="64">
        <v>2600.9131905799954</v>
      </c>
      <c r="F47" s="64">
        <v>3856.315696390018</v>
      </c>
      <c r="G47" s="64">
        <v>985.9182150000036</v>
      </c>
      <c r="H47" s="64">
        <v>9850.284603999973</v>
      </c>
      <c r="I47" s="64">
        <v>310.6203970000008</v>
      </c>
      <c r="J47" s="64">
        <v>2842.6592042999973</v>
      </c>
      <c r="K47" s="64">
        <v>1245.889552</v>
      </c>
      <c r="L47" s="64">
        <f>SUM(B47:K47)</f>
        <v>54827.76389781998</v>
      </c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</row>
    <row r="48" spans="1:14" ht="9" customHeight="1">
      <c r="A48" s="74"/>
      <c r="B48" s="64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2"/>
      <c r="N48" s="2"/>
    </row>
    <row r="49" spans="1:14" ht="14.25" customHeight="1">
      <c r="A49" s="75" t="s">
        <v>23</v>
      </c>
      <c r="B49" s="64">
        <f aca="true" t="shared" si="3" ref="B49:K49">+B34+B32</f>
        <v>50901.135577199995</v>
      </c>
      <c r="C49" s="64">
        <f t="shared" si="3"/>
        <v>5885.215135</v>
      </c>
      <c r="D49" s="64">
        <f t="shared" si="3"/>
        <v>164895.93999999997</v>
      </c>
      <c r="E49" s="64">
        <f t="shared" si="3"/>
        <v>52192.41047407004</v>
      </c>
      <c r="F49" s="64">
        <f t="shared" si="3"/>
        <v>44237.73339046001</v>
      </c>
      <c r="G49" s="64">
        <f t="shared" si="3"/>
        <v>19023.650095000005</v>
      </c>
      <c r="H49" s="64">
        <f t="shared" si="3"/>
        <v>273262.5058059999</v>
      </c>
      <c r="I49" s="64">
        <f t="shared" si="3"/>
        <v>8423.681562000002</v>
      </c>
      <c r="J49" s="64">
        <f t="shared" si="3"/>
        <v>31370.306893499997</v>
      </c>
      <c r="K49" s="64">
        <f t="shared" si="3"/>
        <v>8722.227662000001</v>
      </c>
      <c r="L49" s="64">
        <f>SUM(B49:K49)</f>
        <v>658914.8065952299</v>
      </c>
      <c r="M49" s="2"/>
      <c r="N49" s="2"/>
    </row>
    <row r="50" spans="1:12" ht="9" customHeight="1">
      <c r="A50" s="35"/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</row>
    <row r="51" spans="1:12" ht="15">
      <c r="A51" s="61"/>
      <c r="B51" s="61" t="str">
        <f>+Exp!B44</f>
        <v>Crecimiento 2013/2012</v>
      </c>
      <c r="C51" s="61"/>
      <c r="D51" s="62"/>
      <c r="E51" s="62"/>
      <c r="F51" s="62"/>
      <c r="G51" s="62"/>
      <c r="H51" s="62"/>
      <c r="I51" s="62"/>
      <c r="J51" s="62"/>
      <c r="K51" s="62"/>
      <c r="L51" s="62"/>
    </row>
    <row r="52" spans="1:12" ht="9" customHeight="1">
      <c r="A52" s="63"/>
      <c r="B52" s="35"/>
      <c r="C52" s="35"/>
      <c r="D52" s="62"/>
      <c r="E52" s="62"/>
      <c r="F52" s="62"/>
      <c r="G52" s="62"/>
      <c r="H52" s="62"/>
      <c r="I52" s="62"/>
      <c r="J52" s="62"/>
      <c r="K52" s="62"/>
      <c r="L52" s="35"/>
    </row>
    <row r="53" spans="1:12" ht="14.25" customHeight="1">
      <c r="A53" s="36" t="s">
        <v>6</v>
      </c>
      <c r="B53" s="66">
        <f aca="true" t="shared" si="4" ref="B53:L53">+(B11/B32-1)*100</f>
        <v>12.845310849954528</v>
      </c>
      <c r="C53" s="66">
        <f t="shared" si="4"/>
        <v>-4.338050924797365</v>
      </c>
      <c r="D53" s="66">
        <f t="shared" si="4"/>
        <v>7.565733855242285</v>
      </c>
      <c r="E53" s="66">
        <f t="shared" si="4"/>
        <v>-4.6986654481662065</v>
      </c>
      <c r="F53" s="66">
        <f t="shared" si="4"/>
        <v>-14.10592952380304</v>
      </c>
      <c r="G53" s="66">
        <f t="shared" si="4"/>
        <v>0.657345521032604</v>
      </c>
      <c r="H53" s="66">
        <f t="shared" si="4"/>
        <v>5.828324142669494</v>
      </c>
      <c r="I53" s="66">
        <f t="shared" si="4"/>
        <v>5.536581452279465</v>
      </c>
      <c r="J53" s="66">
        <f t="shared" si="4"/>
        <v>-0.8936273581974574</v>
      </c>
      <c r="K53" s="66">
        <f t="shared" si="4"/>
        <v>-10.004557552152626</v>
      </c>
      <c r="L53" s="66">
        <f t="shared" si="4"/>
        <v>1.8527125340632722</v>
      </c>
    </row>
    <row r="54" spans="1:12" ht="9" customHeight="1">
      <c r="A54" s="37"/>
      <c r="B54" s="66"/>
      <c r="C54" s="66"/>
      <c r="D54" s="66"/>
      <c r="E54" s="66"/>
      <c r="F54" s="66"/>
      <c r="G54" s="66"/>
      <c r="H54" s="66"/>
      <c r="I54" s="66"/>
      <c r="J54" s="66"/>
      <c r="K54" s="66"/>
      <c r="L54" s="66"/>
    </row>
    <row r="55" spans="1:12" ht="14.25" customHeight="1">
      <c r="A55" s="36" t="s">
        <v>24</v>
      </c>
      <c r="B55" s="66">
        <f aca="true" t="shared" si="5" ref="B55:L55">+(B13/B34-1)*100</f>
        <v>9.5126592234422</v>
      </c>
      <c r="C55" s="66">
        <f t="shared" si="5"/>
        <v>32.98463392637072</v>
      </c>
      <c r="D55" s="66">
        <f t="shared" si="5"/>
        <v>8.928182309198117</v>
      </c>
      <c r="E55" s="66">
        <f t="shared" si="5"/>
        <v>6.83180394020404</v>
      </c>
      <c r="F55" s="66">
        <f t="shared" si="5"/>
        <v>4.795075850113517</v>
      </c>
      <c r="G55" s="66">
        <f t="shared" si="5"/>
        <v>10.639126262223964</v>
      </c>
      <c r="H55" s="66">
        <f t="shared" si="5"/>
        <v>3.9512451984539787</v>
      </c>
      <c r="I55" s="66">
        <f t="shared" si="5"/>
        <v>9.432946833858447</v>
      </c>
      <c r="J55" s="66">
        <f t="shared" si="5"/>
        <v>6.188473581980203</v>
      </c>
      <c r="K55" s="66">
        <f t="shared" si="5"/>
        <v>5.469373144258416</v>
      </c>
      <c r="L55" s="66">
        <f t="shared" si="5"/>
        <v>6.205757014664903</v>
      </c>
    </row>
    <row r="56" spans="1:12" ht="6.75" customHeight="1">
      <c r="A56" s="74"/>
      <c r="B56" s="66"/>
      <c r="C56" s="66"/>
      <c r="D56" s="66"/>
      <c r="E56" s="66"/>
      <c r="F56" s="66"/>
      <c r="G56" s="66"/>
      <c r="H56" s="66"/>
      <c r="I56" s="66"/>
      <c r="J56" s="66"/>
      <c r="K56" s="66"/>
      <c r="L56" s="66"/>
    </row>
    <row r="57" spans="1:13" ht="14.25" customHeight="1">
      <c r="A57" s="37" t="s">
        <v>53</v>
      </c>
      <c r="B57" s="66">
        <f aca="true" t="shared" si="6" ref="B57:L57">(B15/B36-1)*100</f>
        <v>-7.361330919890663</v>
      </c>
      <c r="C57" s="66">
        <f t="shared" si="6"/>
        <v>27.064899866771654</v>
      </c>
      <c r="D57" s="66">
        <f t="shared" si="6"/>
        <v>68.03006034854128</v>
      </c>
      <c r="E57" s="66">
        <f t="shared" si="6"/>
        <v>-18.13737464294881</v>
      </c>
      <c r="F57" s="66">
        <f t="shared" si="6"/>
        <v>-14.53228973023486</v>
      </c>
      <c r="G57" s="66">
        <f t="shared" si="6"/>
        <v>-27.588822296254612</v>
      </c>
      <c r="H57" s="66">
        <f t="shared" si="6"/>
        <v>-0.8741047841168137</v>
      </c>
      <c r="I57" s="66">
        <f t="shared" si="6"/>
        <v>767.1353984676456</v>
      </c>
      <c r="J57" s="66">
        <f t="shared" si="6"/>
        <v>3.5306273368880703</v>
      </c>
      <c r="K57" s="66">
        <f t="shared" si="6"/>
        <v>-57.355744258622344</v>
      </c>
      <c r="L57" s="66">
        <f t="shared" si="6"/>
        <v>3.183225632902964</v>
      </c>
      <c r="M57" s="16"/>
    </row>
    <row r="58" spans="1:12" ht="6.75" customHeight="1">
      <c r="A58" s="74"/>
      <c r="B58" s="66"/>
      <c r="C58" s="66"/>
      <c r="D58" s="66"/>
      <c r="E58" s="66"/>
      <c r="F58" s="66"/>
      <c r="G58" s="66"/>
      <c r="H58" s="66"/>
      <c r="I58" s="66"/>
      <c r="J58" s="66"/>
      <c r="K58" s="66"/>
      <c r="L58" s="66"/>
    </row>
    <row r="59" spans="1:13" ht="14.25" customHeight="1">
      <c r="A59" s="37" t="s">
        <v>50</v>
      </c>
      <c r="B59" s="66">
        <f aca="true" t="shared" si="7" ref="B59:L59">+(B17/B38-1)*100</f>
        <v>-13.19660875603217</v>
      </c>
      <c r="C59" s="66">
        <f t="shared" si="7"/>
        <v>2.373569688914734</v>
      </c>
      <c r="D59" s="66">
        <f t="shared" si="7"/>
        <v>-0.05238159125798836</v>
      </c>
      <c r="E59" s="66">
        <f t="shared" si="7"/>
        <v>46.313534353735264</v>
      </c>
      <c r="F59" s="66">
        <f t="shared" si="7"/>
        <v>-13.063808560306022</v>
      </c>
      <c r="G59" s="66">
        <f t="shared" si="7"/>
        <v>-7.1272283797840785</v>
      </c>
      <c r="H59" s="66">
        <f t="shared" si="7"/>
        <v>-0.5195727377635961</v>
      </c>
      <c r="I59" s="66">
        <f t="shared" si="7"/>
        <v>42.6837940716476</v>
      </c>
      <c r="J59" s="66">
        <f t="shared" si="7"/>
        <v>6.213672981460583</v>
      </c>
      <c r="K59" s="66">
        <f t="shared" si="7"/>
        <v>19.995955254011342</v>
      </c>
      <c r="L59" s="66">
        <f t="shared" si="7"/>
        <v>1.6447449700921046</v>
      </c>
      <c r="M59" s="16"/>
    </row>
    <row r="60" spans="1:13" ht="14.25" customHeight="1">
      <c r="A60" s="37" t="s">
        <v>13</v>
      </c>
      <c r="B60" s="66">
        <f aca="true" t="shared" si="8" ref="B60:L60">+(B18/B39-1)*100</f>
        <v>-8.288946516242268</v>
      </c>
      <c r="C60" s="66">
        <f t="shared" si="8"/>
        <v>45.37395108911926</v>
      </c>
      <c r="D60" s="66">
        <f t="shared" si="8"/>
        <v>12.871438028490779</v>
      </c>
      <c r="E60" s="66">
        <f t="shared" si="8"/>
        <v>-2.789387512734398</v>
      </c>
      <c r="F60" s="66">
        <f t="shared" si="8"/>
        <v>15.846488907608801</v>
      </c>
      <c r="G60" s="66">
        <f t="shared" si="8"/>
        <v>15.639608100649816</v>
      </c>
      <c r="H60" s="66">
        <f t="shared" si="8"/>
        <v>2.1385089667203427</v>
      </c>
      <c r="I60" s="66">
        <f t="shared" si="8"/>
        <v>-14.390942984422617</v>
      </c>
      <c r="J60" s="66">
        <f t="shared" si="8"/>
        <v>11.43355049450574</v>
      </c>
      <c r="K60" s="66">
        <f t="shared" si="8"/>
        <v>-9.318651621083362</v>
      </c>
      <c r="L60" s="66">
        <f t="shared" si="8"/>
        <v>4.139976206931406</v>
      </c>
      <c r="M60" s="16"/>
    </row>
    <row r="61" spans="1:12" ht="6.75" customHeight="1">
      <c r="A61" s="74"/>
      <c r="B61" s="66"/>
      <c r="C61" s="66"/>
      <c r="D61" s="66"/>
      <c r="E61" s="66"/>
      <c r="F61" s="66"/>
      <c r="G61" s="66"/>
      <c r="H61" s="66"/>
      <c r="I61" s="66"/>
      <c r="J61" s="66"/>
      <c r="K61" s="66"/>
      <c r="L61" s="66"/>
    </row>
    <row r="62" spans="1:13" ht="14.25" customHeight="1">
      <c r="A62" s="37" t="s">
        <v>49</v>
      </c>
      <c r="B62" s="66">
        <f aca="true" t="shared" si="9" ref="B62:L62">+(B20/B41-1)*100</f>
        <v>10.462331167491579</v>
      </c>
      <c r="C62" s="66">
        <f t="shared" si="9"/>
        <v>32.17808191699287</v>
      </c>
      <c r="D62" s="66">
        <f t="shared" si="9"/>
        <v>7.997652658079613</v>
      </c>
      <c r="E62" s="66">
        <f t="shared" si="9"/>
        <v>20.35923467889067</v>
      </c>
      <c r="F62" s="66">
        <f t="shared" si="9"/>
        <v>7.102571316037887</v>
      </c>
      <c r="G62" s="66">
        <f t="shared" si="9"/>
        <v>5.1787231122296</v>
      </c>
      <c r="H62" s="66">
        <f t="shared" si="9"/>
        <v>6.956914427798644</v>
      </c>
      <c r="I62" s="66">
        <f t="shared" si="9"/>
        <v>39.739365820680405</v>
      </c>
      <c r="J62" s="66">
        <f t="shared" si="9"/>
        <v>5.918622888153124</v>
      </c>
      <c r="K62" s="66">
        <f t="shared" si="9"/>
        <v>8.646465346881227</v>
      </c>
      <c r="L62" s="66">
        <f t="shared" si="9"/>
        <v>9.000330175971328</v>
      </c>
      <c r="M62" s="16"/>
    </row>
    <row r="63" spans="1:12" ht="7.5" customHeight="1">
      <c r="A63" s="74"/>
      <c r="B63" s="66"/>
      <c r="C63" s="66"/>
      <c r="D63" s="66"/>
      <c r="E63" s="66"/>
      <c r="F63" s="66"/>
      <c r="G63" s="66"/>
      <c r="H63" s="66"/>
      <c r="I63" s="66"/>
      <c r="J63" s="66"/>
      <c r="K63" s="66"/>
      <c r="L63" s="66"/>
    </row>
    <row r="64" spans="1:13" ht="14.25" customHeight="1">
      <c r="A64" s="37" t="s">
        <v>14</v>
      </c>
      <c r="B64" s="66">
        <f aca="true" t="shared" si="10" ref="B64:L64">+(B22/B43-1)*100</f>
        <v>5.706122596266416</v>
      </c>
      <c r="C64" s="66">
        <f t="shared" si="10"/>
        <v>29.17565838514271</v>
      </c>
      <c r="D64" s="66">
        <f t="shared" si="10"/>
        <v>-13.65291261137772</v>
      </c>
      <c r="E64" s="66">
        <f t="shared" si="10"/>
        <v>-3.346115447042719</v>
      </c>
      <c r="F64" s="66">
        <f t="shared" si="10"/>
        <v>-12.955212473057397</v>
      </c>
      <c r="G64" s="66">
        <f t="shared" si="10"/>
        <v>-20.925025122073748</v>
      </c>
      <c r="H64" s="66">
        <f t="shared" si="10"/>
        <v>-0.40896404650766494</v>
      </c>
      <c r="I64" s="66">
        <f t="shared" si="10"/>
        <v>-11.868819427163357</v>
      </c>
      <c r="J64" s="66">
        <f t="shared" si="10"/>
        <v>-0.9938946356181533</v>
      </c>
      <c r="K64" s="66">
        <f t="shared" si="10"/>
        <v>-7.706431873733233</v>
      </c>
      <c r="L64" s="66">
        <f t="shared" si="10"/>
        <v>-4.5014670548365165</v>
      </c>
      <c r="M64" s="16"/>
    </row>
    <row r="65" spans="1:13" ht="14.25" customHeight="1">
      <c r="A65" s="37" t="s">
        <v>15</v>
      </c>
      <c r="B65" s="66">
        <f aca="true" t="shared" si="11" ref="B65:L65">+(B23/B44-1)*100</f>
        <v>22.151695762528067</v>
      </c>
      <c r="C65" s="66">
        <f t="shared" si="11"/>
        <v>11.553486856712647</v>
      </c>
      <c r="D65" s="66">
        <f t="shared" si="11"/>
        <v>10.445811074442757</v>
      </c>
      <c r="E65" s="66">
        <f t="shared" si="11"/>
        <v>10.065299799683158</v>
      </c>
      <c r="F65" s="66">
        <f t="shared" si="11"/>
        <v>4.648540256431555</v>
      </c>
      <c r="G65" s="66">
        <f t="shared" si="11"/>
        <v>22.35052321521518</v>
      </c>
      <c r="H65" s="66">
        <f t="shared" si="11"/>
        <v>9.32532154408021</v>
      </c>
      <c r="I65" s="66">
        <f t="shared" si="11"/>
        <v>10.650480852828403</v>
      </c>
      <c r="J65" s="66">
        <f t="shared" si="11"/>
        <v>8.38813132889149</v>
      </c>
      <c r="K65" s="66">
        <f t="shared" si="11"/>
        <v>22.363466319263093</v>
      </c>
      <c r="L65" s="66">
        <f t="shared" si="11"/>
        <v>10.648114201686699</v>
      </c>
      <c r="M65" s="16"/>
    </row>
    <row r="66" spans="1:13" ht="14.25" customHeight="1">
      <c r="A66" s="37" t="s">
        <v>27</v>
      </c>
      <c r="B66" s="66">
        <f aca="true" t="shared" si="12" ref="B66:L66">+(B24/B45-1)*100</f>
        <v>7.912614284125019</v>
      </c>
      <c r="C66" s="66">
        <f t="shared" si="12"/>
        <v>52.90749021655545</v>
      </c>
      <c r="D66" s="66">
        <f t="shared" si="12"/>
        <v>-2.2406105176948077</v>
      </c>
      <c r="E66" s="66">
        <f t="shared" si="12"/>
        <v>7.480922271869916</v>
      </c>
      <c r="F66" s="66">
        <f t="shared" si="12"/>
        <v>-7.344617593466573</v>
      </c>
      <c r="G66" s="66">
        <f t="shared" si="12"/>
        <v>13.915764895740534</v>
      </c>
      <c r="H66" s="66">
        <f t="shared" si="12"/>
        <v>8.179895494381784</v>
      </c>
      <c r="I66" s="66">
        <f t="shared" si="12"/>
        <v>3.3241218971036712</v>
      </c>
      <c r="J66" s="66">
        <f t="shared" si="12"/>
        <v>3.4040347832875906</v>
      </c>
      <c r="K66" s="66">
        <f t="shared" si="12"/>
        <v>12.861861557011235</v>
      </c>
      <c r="L66" s="66">
        <f t="shared" si="12"/>
        <v>4.383758021648365</v>
      </c>
      <c r="M66" s="16"/>
    </row>
    <row r="67" spans="1:12" ht="7.5" customHeight="1">
      <c r="A67" s="74"/>
      <c r="B67" s="66"/>
      <c r="C67" s="66"/>
      <c r="D67" s="66"/>
      <c r="E67" s="66"/>
      <c r="F67" s="66"/>
      <c r="G67" s="66"/>
      <c r="H67" s="66"/>
      <c r="I67" s="66"/>
      <c r="J67" s="66"/>
      <c r="K67" s="66"/>
      <c r="L67" s="66"/>
    </row>
    <row r="68" spans="1:13" ht="14.25" customHeight="1">
      <c r="A68" s="37" t="s">
        <v>22</v>
      </c>
      <c r="B68" s="66">
        <f aca="true" t="shared" si="13" ref="B68:L68">+(B26/B47-1)*100</f>
        <v>24.05865580443003</v>
      </c>
      <c r="C68" s="66">
        <f t="shared" si="13"/>
        <v>90.7689113143928</v>
      </c>
      <c r="D68" s="66">
        <f t="shared" si="13"/>
        <v>14.180971745686177</v>
      </c>
      <c r="E68" s="66">
        <f t="shared" si="13"/>
        <v>6.903494070094562</v>
      </c>
      <c r="F68" s="66">
        <f t="shared" si="13"/>
        <v>-8.423523108445718</v>
      </c>
      <c r="G68" s="66">
        <f t="shared" si="13"/>
        <v>2.0312266976414417</v>
      </c>
      <c r="H68" s="66">
        <f t="shared" si="13"/>
        <v>-1.9251396850291091</v>
      </c>
      <c r="I68" s="66">
        <f t="shared" si="13"/>
        <v>13.41527517267236</v>
      </c>
      <c r="J68" s="66">
        <f t="shared" si="13"/>
        <v>-3.4507518541659676</v>
      </c>
      <c r="K68" s="66">
        <f t="shared" si="13"/>
        <v>-4.5000887044921445</v>
      </c>
      <c r="L68" s="66">
        <f t="shared" si="13"/>
        <v>8.798767439614362</v>
      </c>
      <c r="M68" s="16"/>
    </row>
    <row r="69" spans="1:12" ht="7.5" customHeight="1">
      <c r="A69" s="74"/>
      <c r="B69" s="66"/>
      <c r="C69" s="66"/>
      <c r="D69" s="66"/>
      <c r="E69" s="66"/>
      <c r="F69" s="66"/>
      <c r="G69" s="66"/>
      <c r="H69" s="66"/>
      <c r="I69" s="66"/>
      <c r="J69" s="66"/>
      <c r="K69" s="66"/>
      <c r="L69" s="66"/>
    </row>
    <row r="70" spans="1:12" ht="14.25" customHeight="1">
      <c r="A70" s="75" t="s">
        <v>23</v>
      </c>
      <c r="B70" s="66">
        <f aca="true" t="shared" si="14" ref="B70:L70">+(B28/B49-1)*100</f>
        <v>10.680342822302613</v>
      </c>
      <c r="C70" s="66">
        <f t="shared" si="14"/>
        <v>12.041984952857643</v>
      </c>
      <c r="D70" s="66">
        <f t="shared" si="14"/>
        <v>8.710234466658196</v>
      </c>
      <c r="E70" s="66">
        <f t="shared" si="14"/>
        <v>3.581466528316013</v>
      </c>
      <c r="F70" s="66">
        <f t="shared" si="14"/>
        <v>-0.3554256109874254</v>
      </c>
      <c r="G70" s="66">
        <f t="shared" si="14"/>
        <v>7.334156673574932</v>
      </c>
      <c r="H70" s="66">
        <f t="shared" si="14"/>
        <v>3.998132165543611</v>
      </c>
      <c r="I70" s="66">
        <f t="shared" si="14"/>
        <v>7.61468599304107</v>
      </c>
      <c r="J70" s="66">
        <f t="shared" si="14"/>
        <v>4.134076542198928</v>
      </c>
      <c r="K70" s="66">
        <f t="shared" si="14"/>
        <v>-1.5080595932282725</v>
      </c>
      <c r="L70" s="66">
        <f t="shared" si="14"/>
        <v>5.516244295323358</v>
      </c>
    </row>
    <row r="71" spans="1:12" ht="9" customHeight="1" thickBot="1">
      <c r="A71" s="59"/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</row>
    <row r="72" spans="1:12" ht="2.25" customHeight="1">
      <c r="A72" s="69"/>
      <c r="B72" s="70"/>
      <c r="C72" s="70"/>
      <c r="D72" s="70"/>
      <c r="E72" s="70"/>
      <c r="F72" s="70"/>
      <c r="G72" s="70"/>
      <c r="H72" s="70"/>
      <c r="I72" s="70"/>
      <c r="J72" s="70"/>
      <c r="K72" s="70"/>
      <c r="L72" s="70"/>
    </row>
    <row r="73" spans="1:12" s="12" customFormat="1" ht="12">
      <c r="A73" s="56" t="s">
        <v>42</v>
      </c>
      <c r="B73" s="57"/>
      <c r="C73" s="57"/>
      <c r="D73" s="57"/>
      <c r="E73" s="57"/>
      <c r="F73" s="57"/>
      <c r="G73" s="57"/>
      <c r="H73" s="57"/>
      <c r="I73" s="57"/>
      <c r="J73" s="57"/>
      <c r="K73" s="57"/>
      <c r="L73" s="57"/>
    </row>
    <row r="74" spans="1:12" s="12" customFormat="1" ht="12.75">
      <c r="A74" s="35" t="str">
        <f>+Imp!A63</f>
        <v> Nota: importaciones a valores CIF excepto Brasil y México a valores FOB</v>
      </c>
      <c r="B74" s="57"/>
      <c r="C74" s="57"/>
      <c r="D74" s="57"/>
      <c r="E74" s="57"/>
      <c r="F74" s="57"/>
      <c r="G74" s="57"/>
      <c r="H74" s="57"/>
      <c r="I74" s="57"/>
      <c r="J74" s="57"/>
      <c r="K74" s="57"/>
      <c r="L74" s="57"/>
    </row>
  </sheetData>
  <sheetProtection/>
  <printOptions/>
  <pageMargins left="0.7480314960629921" right="0.7480314960629921" top="0.984251968503937" bottom="0.984251968503937" header="0" footer="0"/>
  <pageSetup fitToHeight="1" fitToWidth="1"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X58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59" sqref="A59:IV87"/>
    </sheetView>
  </sheetViews>
  <sheetFormatPr defaultColWidth="11.421875" defaultRowHeight="12.75"/>
  <cols>
    <col min="1" max="1" width="13.7109375" style="0" customWidth="1"/>
    <col min="2" max="11" width="8.57421875" style="0" customWidth="1"/>
    <col min="12" max="12" width="8.7109375" style="0" customWidth="1"/>
  </cols>
  <sheetData>
    <row r="1" spans="1:14" ht="12.75">
      <c r="A1" s="36" t="s">
        <v>63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35"/>
      <c r="N1" s="27"/>
    </row>
    <row r="2" spans="1:12" ht="12.75">
      <c r="A2" s="36" t="str">
        <f>+Exp!A2</f>
        <v>ARGENTINA, BOLIVIA, BRASIL, CHILE, COLOMBIA, ECUADOR, MÉXICO, PARAGUAY, PERÚ Y URUGUAY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</row>
    <row r="3" spans="1:12" ht="12.75">
      <c r="A3" s="36" t="s">
        <v>28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</row>
    <row r="4" spans="1:12" ht="12.75">
      <c r="A4" s="37" t="str">
        <f>+Exp!A4</f>
        <v>Enero-setiembre 2012-2013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</row>
    <row r="5" spans="1:13" ht="12.75">
      <c r="A5" s="37" t="s">
        <v>39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27"/>
    </row>
    <row r="6" spans="1:12" ht="8.25" customHeight="1" thickBot="1">
      <c r="A6" s="59"/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</row>
    <row r="7" spans="1:12" ht="15" customHeight="1" thickBot="1">
      <c r="A7" s="90" t="s">
        <v>0</v>
      </c>
      <c r="B7" s="88" t="s">
        <v>30</v>
      </c>
      <c r="C7" s="88" t="s">
        <v>31</v>
      </c>
      <c r="D7" s="88" t="s">
        <v>32</v>
      </c>
      <c r="E7" s="89" t="s">
        <v>33</v>
      </c>
      <c r="F7" s="88" t="s">
        <v>40</v>
      </c>
      <c r="G7" s="88" t="s">
        <v>34</v>
      </c>
      <c r="H7" s="88" t="s">
        <v>35</v>
      </c>
      <c r="I7" s="88" t="s">
        <v>41</v>
      </c>
      <c r="J7" s="88" t="s">
        <v>37</v>
      </c>
      <c r="K7" s="88" t="s">
        <v>38</v>
      </c>
      <c r="L7" s="88" t="s">
        <v>18</v>
      </c>
    </row>
    <row r="8" spans="1:12" ht="9" customHeight="1">
      <c r="A8" s="60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</row>
    <row r="9" spans="1:12" ht="15">
      <c r="A9" s="61"/>
      <c r="B9" s="61" t="str">
        <f>+Exp!B10</f>
        <v>Enero-setiembre 2013</v>
      </c>
      <c r="C9" s="61"/>
      <c r="D9" s="62"/>
      <c r="E9" s="62"/>
      <c r="F9" s="62"/>
      <c r="G9" s="62"/>
      <c r="H9" s="62"/>
      <c r="I9" s="62"/>
      <c r="J9" s="62"/>
      <c r="K9" s="62"/>
      <c r="L9" s="62"/>
    </row>
    <row r="10" spans="1:12" ht="9" customHeight="1">
      <c r="A10" s="63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</row>
    <row r="11" spans="1:24" ht="12.75">
      <c r="A11" s="36" t="s">
        <v>6</v>
      </c>
      <c r="B11" s="58">
        <f>+ExpRM!B11-ImpRM!B11</f>
        <v>4920.607198230005</v>
      </c>
      <c r="C11" s="58">
        <f>+ExpRM!C11-ImpRM!C11</f>
        <v>2989.029005029998</v>
      </c>
      <c r="D11" s="58">
        <f>+ExpRM!D11-ImpRM!D11</f>
        <v>6990.083000000002</v>
      </c>
      <c r="E11" s="58">
        <f>+ExpRM!E11-ImpRM!E11</f>
        <v>-5315.813547890011</v>
      </c>
      <c r="F11" s="58">
        <f>+ExpRM!F11-ImpRM!F11</f>
        <v>-476.0493314899977</v>
      </c>
      <c r="G11" s="58">
        <f>+ExpRM!G11-ImpRM!G11</f>
        <v>-1361.6152349999993</v>
      </c>
      <c r="H11" s="58">
        <f>+ExpRM!H11-ImpRM!H11</f>
        <v>8875.029907</v>
      </c>
      <c r="I11" s="58">
        <f>+ExpRM!I11-ImpRM!I11</f>
        <v>-208.8395470000005</v>
      </c>
      <c r="J11" s="58">
        <f>+ExpRM!J11-ImpRM!J11</f>
        <v>-3231.6251644999984</v>
      </c>
      <c r="K11" s="58">
        <f>+ExpRM!K11-ImpRM!K11</f>
        <v>-1166.1091209999995</v>
      </c>
      <c r="L11" s="58"/>
      <c r="M11" s="11"/>
      <c r="O11" s="27"/>
      <c r="P11" s="27"/>
      <c r="Q11" s="27"/>
      <c r="R11" s="27"/>
      <c r="S11" s="27"/>
      <c r="T11" s="27"/>
      <c r="U11" s="27"/>
      <c r="V11" s="27"/>
      <c r="W11" s="27"/>
      <c r="X11" s="27"/>
    </row>
    <row r="12" spans="1:24" ht="12.75">
      <c r="A12" s="37"/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  <c r="O12" s="27"/>
      <c r="P12" s="27"/>
      <c r="Q12" s="27"/>
      <c r="R12" s="27"/>
      <c r="S12" s="27"/>
      <c r="T12" s="27"/>
      <c r="U12" s="27"/>
      <c r="V12" s="27"/>
      <c r="W12" s="27"/>
      <c r="X12" s="27"/>
    </row>
    <row r="13" spans="1:14" ht="12.75">
      <c r="A13" s="36" t="s">
        <v>24</v>
      </c>
      <c r="B13" s="58">
        <f>+ExpRM!B13-ImpRM!B13</f>
        <v>2221.041310700013</v>
      </c>
      <c r="C13" s="58">
        <f>+ExpRM!C13-ImpRM!C13</f>
        <v>-529.7068300299998</v>
      </c>
      <c r="D13" s="58">
        <f>+ExpRM!D13-ImpRM!D13</f>
        <v>-8598.391000000032</v>
      </c>
      <c r="E13" s="58">
        <f>+ExpRM!E13-ImpRM!E13</f>
        <v>8592.811533789834</v>
      </c>
      <c r="F13" s="58">
        <f>+ExpRM!F13-ImpRM!F13</f>
        <v>164.49263350000547</v>
      </c>
      <c r="G13" s="58">
        <f>+ExpRM!G13-ImpRM!G13</f>
        <v>-426.74988299999495</v>
      </c>
      <c r="H13" s="58">
        <f>+ExpRM!H13-ImpRM!H13</f>
        <v>-11751.768861000077</v>
      </c>
      <c r="I13" s="58">
        <f>+ExpRM!I13-ImpRM!I13</f>
        <v>-1280.7928459999976</v>
      </c>
      <c r="J13" s="58">
        <f>+ExpRM!J13-ImpRM!J13</f>
        <v>1244.108427700001</v>
      </c>
      <c r="K13" s="58">
        <f>+ExpRM!K13-ImpRM!K13</f>
        <v>-357.4002360000013</v>
      </c>
      <c r="L13" s="58">
        <f>SUM(B13:K13)</f>
        <v>-10722.355750340248</v>
      </c>
      <c r="M13" s="11"/>
      <c r="N13" s="15"/>
    </row>
    <row r="14" spans="1:12" ht="6.75" customHeight="1">
      <c r="A14" s="74"/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</row>
    <row r="15" spans="1:16" ht="12.75">
      <c r="A15" s="37" t="s">
        <v>53</v>
      </c>
      <c r="B15" s="58">
        <f>ExpRM!B15-ImpRM!B15</f>
        <v>-913.1066775199998</v>
      </c>
      <c r="C15" s="58">
        <f>ExpRM!C15-ImpRM!C15</f>
        <v>21.977749460000002</v>
      </c>
      <c r="D15" s="58">
        <f>ExpRM!D15-ImpRM!D15</f>
        <v>95.5619999999999</v>
      </c>
      <c r="E15" s="58">
        <f>ExpRM!E15-ImpRM!E15</f>
        <v>-622.3042088500099</v>
      </c>
      <c r="F15" s="58">
        <f>ExpRM!F15-ImpRM!F15</f>
        <v>2982.7679511200004</v>
      </c>
      <c r="G15" s="58">
        <f>ExpRM!G15-ImpRM!G15</f>
        <v>95.24402900000013</v>
      </c>
      <c r="H15" s="58">
        <f>ExpRM!H15-ImpRM!H15</f>
        <v>841.2494649999999</v>
      </c>
      <c r="I15" s="58">
        <f>ExpRM!I15-ImpRM!I15</f>
        <v>93.837671</v>
      </c>
      <c r="J15" s="58">
        <f>ExpRM!J15-ImpRM!J15</f>
        <v>105.55876399999994</v>
      </c>
      <c r="K15" s="58">
        <f>ExpRM!K15-ImpRM!K15</f>
        <v>29.320381999999995</v>
      </c>
      <c r="L15" s="58">
        <f>SUM(B15:K15)</f>
        <v>2730.1071252099905</v>
      </c>
      <c r="M15" s="27"/>
      <c r="N15" s="15"/>
      <c r="P15" s="11"/>
    </row>
    <row r="16" spans="1:13" ht="6.75" customHeight="1">
      <c r="A16" s="74"/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27"/>
    </row>
    <row r="17" spans="1:16" ht="12.75">
      <c r="A17" s="37" t="s">
        <v>50</v>
      </c>
      <c r="B17" s="58">
        <f>+ExpRM!B17-ImpRM!B17</f>
        <v>1068.3825002599997</v>
      </c>
      <c r="C17" s="58">
        <f>+ExpRM!C17-ImpRM!C17</f>
        <v>70.22593266999999</v>
      </c>
      <c r="D17" s="58">
        <f>+ExpRM!D17-ImpRM!D17</f>
        <v>-324.5930000000001</v>
      </c>
      <c r="E17" s="58">
        <f>+ExpRM!E17-ImpRM!E17</f>
        <v>-85.47013197000592</v>
      </c>
      <c r="F17" s="58">
        <f>+ExpRM!F17-ImpRM!F17</f>
        <v>-462.14783869000007</v>
      </c>
      <c r="G17" s="58">
        <f>+ExpRM!G17-ImpRM!G17</f>
        <v>-118.684</v>
      </c>
      <c r="H17" s="58">
        <f>+ExpRM!H17-ImpRM!H17</f>
        <v>574.1974270000001</v>
      </c>
      <c r="I17" s="58">
        <f>+ExpRM!I17-ImpRM!I17</f>
        <v>-11.740987</v>
      </c>
      <c r="J17" s="58">
        <f>+ExpRM!J17-ImpRM!J17</f>
        <v>1567.2575909</v>
      </c>
      <c r="K17" s="58">
        <f>+ExpRM!K17-ImpRM!K17</f>
        <v>6.959723999999994</v>
      </c>
      <c r="L17" s="58">
        <f>SUM(B17:K17)</f>
        <v>2284.3872171699936</v>
      </c>
      <c r="M17" s="27"/>
      <c r="N17" s="15"/>
      <c r="O17" s="11"/>
      <c r="P17" s="11"/>
    </row>
    <row r="18" spans="1:16" ht="12.75">
      <c r="A18" s="37" t="s">
        <v>13</v>
      </c>
      <c r="B18" s="58">
        <f>+ExpRM!B18-ImpRM!B18</f>
        <v>-2804.5386696</v>
      </c>
      <c r="C18" s="58">
        <f>+ExpRM!C18-ImpRM!C18</f>
        <v>57.58089245000008</v>
      </c>
      <c r="D18" s="58">
        <f>+ExpRM!D18-ImpRM!D18</f>
        <v>-8536.533</v>
      </c>
      <c r="E18" s="58">
        <f>+ExpRM!E18-ImpRM!E18</f>
        <v>-3652.208274240116</v>
      </c>
      <c r="F18" s="58">
        <f>+ExpRM!F18-ImpRM!F18</f>
        <v>2503.3211186900007</v>
      </c>
      <c r="G18" s="58">
        <f>+ExpRM!G18-ImpRM!G18</f>
        <v>2558.7585449999997</v>
      </c>
      <c r="H18" s="58">
        <f>+ExpRM!H18-ImpRM!H18</f>
        <v>80399.187386</v>
      </c>
      <c r="I18" s="58">
        <f>+ExpRM!I18-ImpRM!I18</f>
        <v>-380.503518</v>
      </c>
      <c r="J18" s="58">
        <f>+ExpRM!J18-ImpRM!J18</f>
        <v>-1161.9402885</v>
      </c>
      <c r="K18" s="58">
        <f>+ExpRM!K18-ImpRM!K18</f>
        <v>-464.602342</v>
      </c>
      <c r="L18" s="58">
        <f>SUM(B18:K18)</f>
        <v>68518.52184979989</v>
      </c>
      <c r="M18" s="27"/>
      <c r="N18" s="15"/>
      <c r="O18" s="19"/>
      <c r="P18" s="11"/>
    </row>
    <row r="19" spans="1:14" ht="6.75" customHeight="1">
      <c r="A19" s="74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27"/>
      <c r="N19" s="15"/>
    </row>
    <row r="20" spans="1:16" ht="12.75">
      <c r="A20" s="37" t="s">
        <v>57</v>
      </c>
      <c r="B20" s="58">
        <f>+ExpRM!B20-ImpRM!B20</f>
        <v>-2510.5921086900016</v>
      </c>
      <c r="C20" s="58">
        <f>+ExpRM!C20-ImpRM!C20</f>
        <v>-130.25514431</v>
      </c>
      <c r="D20" s="58">
        <f>+ExpRM!D20-ImpRM!D20</f>
        <v>-3822.922000000006</v>
      </c>
      <c r="E20" s="58">
        <f>+ExpRM!E20-ImpRM!E20</f>
        <v>-222.43306480000138</v>
      </c>
      <c r="F20" s="58">
        <f>+ExpRM!F20-ImpRM!F20</f>
        <v>1048.9563137699988</v>
      </c>
      <c r="G20" s="58">
        <f>+ExpRM!G20-ImpRM!G20</f>
        <v>44.72423600000002</v>
      </c>
      <c r="H20" s="58">
        <f>+ExpRM!H20-ImpRM!H20</f>
        <v>-17129.226688</v>
      </c>
      <c r="I20" s="58">
        <f>+ExpRM!I20-ImpRM!I20</f>
        <v>424.57446300000004</v>
      </c>
      <c r="J20" s="58">
        <f>+ExpRM!J20-ImpRM!J20</f>
        <v>985.8052375000002</v>
      </c>
      <c r="K20" s="58">
        <f>+ExpRM!K20-ImpRM!K20</f>
        <v>-299.41712100000007</v>
      </c>
      <c r="L20" s="58">
        <f>SUM(B20:K20)</f>
        <v>-21610.785876530004</v>
      </c>
      <c r="M20" s="27"/>
      <c r="N20" s="15"/>
      <c r="P20" s="11"/>
    </row>
    <row r="21" spans="1:13" ht="7.5" customHeight="1">
      <c r="A21" s="74"/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27"/>
    </row>
    <row r="22" spans="1:16" ht="12.75">
      <c r="A22" s="37" t="s">
        <v>14</v>
      </c>
      <c r="B22" s="58">
        <f>+ExpRM!B22-ImpRM!B22</f>
        <v>162.31624823999982</v>
      </c>
      <c r="C22" s="58">
        <f>+ExpRM!C22-ImpRM!C22</f>
        <v>-9.483572879999997</v>
      </c>
      <c r="D22" s="58">
        <f>+ExpRM!D22-ImpRM!D22</f>
        <v>644.6880000000001</v>
      </c>
      <c r="E22" s="58">
        <f>+ExpRM!E22-ImpRM!E22</f>
        <v>4190.955793300005</v>
      </c>
      <c r="F22" s="58">
        <f>+ExpRM!F22-ImpRM!F22</f>
        <v>-798.8745345400002</v>
      </c>
      <c r="G22" s="58">
        <f>+ExpRM!G22-ImpRM!G22</f>
        <v>11.704459999999926</v>
      </c>
      <c r="H22" s="58">
        <f>+ExpRM!H22-ImpRM!H22</f>
        <v>-11197.806097</v>
      </c>
      <c r="I22" s="58">
        <f>+ExpRM!I22-ImpRM!I22</f>
        <v>-137.01779699999997</v>
      </c>
      <c r="J22" s="58">
        <f>+ExpRM!J22-ImpRM!J22</f>
        <v>463.1055425999998</v>
      </c>
      <c r="K22" s="58">
        <f>+ExpRM!K22-ImpRM!K22</f>
        <v>-61.720594</v>
      </c>
      <c r="L22" s="58">
        <f>SUM(B22:K22)</f>
        <v>-6732.132551279996</v>
      </c>
      <c r="M22" s="27"/>
      <c r="N22" s="15"/>
      <c r="P22" s="11"/>
    </row>
    <row r="23" spans="1:13" ht="7.5" customHeight="1">
      <c r="A23" s="74"/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27"/>
    </row>
    <row r="24" spans="1:16" ht="12.75">
      <c r="A24" s="37" t="s">
        <v>15</v>
      </c>
      <c r="B24" s="58">
        <f>+ExpRM!B23-ImpRM!B23</f>
        <v>-3529.3493811300004</v>
      </c>
      <c r="C24" s="58">
        <f>+ExpRM!C23-ImpRM!C23</f>
        <v>-636.5584161099999</v>
      </c>
      <c r="D24" s="58">
        <f>+ExpRM!D23-ImpRM!D23</f>
        <v>10007.122999999996</v>
      </c>
      <c r="E24" s="58">
        <f>+ExpRM!E23-ImpRM!E23</f>
        <v>3738.9479975699505</v>
      </c>
      <c r="F24" s="58">
        <f>+ExpRM!F23-ImpRM!F23</f>
        <v>-3967.6991194499997</v>
      </c>
      <c r="G24" s="58">
        <f>+ExpRM!G23-ImpRM!G23</f>
        <v>-2183.3954200000003</v>
      </c>
      <c r="H24" s="58">
        <f>+ExpRM!H23-ImpRM!H23</f>
        <v>-39708.204266</v>
      </c>
      <c r="I24" s="58">
        <f>+ExpRM!I23-ImpRM!I23</f>
        <v>-2435.4161050000002</v>
      </c>
      <c r="J24" s="58">
        <f>+ExpRM!J23-ImpRM!J23</f>
        <v>-898.9034820000006</v>
      </c>
      <c r="K24" s="58">
        <f>+ExpRM!K23-ImpRM!K23</f>
        <v>-295.38104899999985</v>
      </c>
      <c r="L24" s="58">
        <f>SUM(B24:K24)</f>
        <v>-39908.83624112006</v>
      </c>
      <c r="M24" s="27"/>
      <c r="N24" s="15"/>
      <c r="P24" s="11"/>
    </row>
    <row r="25" spans="1:13" ht="7.5" customHeight="1">
      <c r="A25" s="74"/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27"/>
    </row>
    <row r="26" spans="1:16" ht="12.75">
      <c r="A26" s="37" t="s">
        <v>27</v>
      </c>
      <c r="B26" s="58">
        <f>+ExpRM!B24-ImpRM!B24</f>
        <v>1923.56980153</v>
      </c>
      <c r="C26" s="58">
        <f>+ExpRM!C24-ImpRM!C24</f>
        <v>95.27422852999996</v>
      </c>
      <c r="D26" s="58">
        <f>+ExpRM!D24-ImpRM!D24</f>
        <v>-4087.1990000000005</v>
      </c>
      <c r="E26" s="58">
        <f>+ExpRM!E24-ImpRM!E24</f>
        <v>2101.4807381500113</v>
      </c>
      <c r="F26" s="58">
        <f>+ExpRM!F24-ImpRM!F24</f>
        <v>-1686.3901282699999</v>
      </c>
      <c r="G26" s="58">
        <f>+ExpRM!G24-ImpRM!G24</f>
        <v>-1233.504395</v>
      </c>
      <c r="H26" s="58">
        <f>+ExpRM!H24-ImpRM!H24</f>
        <v>-22952.903854000004</v>
      </c>
      <c r="I26" s="58">
        <f>+ExpRM!I24-ImpRM!I24</f>
        <v>-198.905175</v>
      </c>
      <c r="J26" s="58">
        <f>+ExpRM!J24-ImpRM!J24</f>
        <v>-636.3789590999993</v>
      </c>
      <c r="K26" s="58">
        <f>+ExpRM!K24-ImpRM!K24</f>
        <v>-325.773367</v>
      </c>
      <c r="L26" s="58">
        <f>SUM(B26:K26)</f>
        <v>-27000.73011015999</v>
      </c>
      <c r="M26" s="27"/>
      <c r="N26" s="15"/>
      <c r="P26" s="11"/>
    </row>
    <row r="27" spans="1:13" ht="7.5" customHeight="1">
      <c r="A27" s="74"/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27"/>
    </row>
    <row r="28" spans="1:16" ht="12.75">
      <c r="A28" s="37" t="s">
        <v>22</v>
      </c>
      <c r="B28" s="58">
        <f>+ExpRM!B26-ImpRM!B26</f>
        <v>8824.359597610011</v>
      </c>
      <c r="C28" s="58">
        <f>+ExpRM!C26-ImpRM!C26</f>
        <v>1.5315001600002915</v>
      </c>
      <c r="D28" s="58">
        <f>+ExpRM!D26-ImpRM!D26</f>
        <v>-2574.517</v>
      </c>
      <c r="E28" s="58">
        <f>+ExpRM!E26-ImpRM!E26</f>
        <v>3143.842684629999</v>
      </c>
      <c r="F28" s="58">
        <f>+ExpRM!F26-ImpRM!F26</f>
        <v>544.5588708700093</v>
      </c>
      <c r="G28" s="58">
        <f>+ExpRM!G26-ImpRM!G26</f>
        <v>398.4026620000079</v>
      </c>
      <c r="H28" s="58">
        <f>+ExpRM!H26-ImpRM!H26</f>
        <v>-2578.262234000028</v>
      </c>
      <c r="I28" s="58">
        <f>+ExpRM!I26-ImpRM!I26</f>
        <v>1364.3786020000027</v>
      </c>
      <c r="J28" s="58">
        <f>+ExpRM!J26-ImpRM!J26</f>
        <v>819.604022300005</v>
      </c>
      <c r="K28" s="58">
        <f>+ExpRM!K26-ImpRM!K26</f>
        <v>1053.2141309999981</v>
      </c>
      <c r="L28" s="58">
        <f>SUM(B28:K28)</f>
        <v>10997.112836570008</v>
      </c>
      <c r="M28" s="27"/>
      <c r="N28" s="15"/>
      <c r="P28" s="11"/>
    </row>
    <row r="29" spans="1:12" ht="9" customHeight="1">
      <c r="A29" s="74"/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</row>
    <row r="30" spans="1:12" ht="12.75">
      <c r="A30" s="75" t="s">
        <v>23</v>
      </c>
      <c r="B30" s="58">
        <f>+ExpRM!B28-ImpRM!B28</f>
        <v>7141.648508930011</v>
      </c>
      <c r="C30" s="58">
        <f>+ExpRM!C28-ImpRM!C28</f>
        <v>2459.3221749999993</v>
      </c>
      <c r="D30" s="58">
        <f>+ExpRM!D28-ImpRM!D28</f>
        <v>-1608.3080000000482</v>
      </c>
      <c r="E30" s="58">
        <f>+ExpRM!E28-ImpRM!E28</f>
        <v>3276.9979858998267</v>
      </c>
      <c r="F30" s="58">
        <f>+ExpRM!F28-ImpRM!F28</f>
        <v>-311.5566979899886</v>
      </c>
      <c r="G30" s="58">
        <f>+ExpRM!G28-ImpRM!G28</f>
        <v>-1788.3651179999943</v>
      </c>
      <c r="H30" s="58">
        <f>+ExpRM!H28-ImpRM!H28</f>
        <v>-2876.7389540000586</v>
      </c>
      <c r="I30" s="58">
        <f>+ExpRM!I28-ImpRM!I28</f>
        <v>-1489.6323929999971</v>
      </c>
      <c r="J30" s="58">
        <f>+ExpRM!J28-ImpRM!J28</f>
        <v>-1987.5167367999966</v>
      </c>
      <c r="K30" s="58">
        <f>+ExpRM!K28-ImpRM!K28</f>
        <v>-1523.5093570000008</v>
      </c>
      <c r="L30" s="58">
        <f>SUM(B30:K30)</f>
        <v>1292.3414130397532</v>
      </c>
    </row>
    <row r="31" spans="1:12" ht="9" customHeight="1">
      <c r="A31" s="35"/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</row>
    <row r="32" spans="1:12" ht="15">
      <c r="A32" s="61"/>
      <c r="B32" s="78" t="str">
        <f>+Exp!B27</f>
        <v>Enero-setiembre 2012</v>
      </c>
      <c r="C32" s="78"/>
      <c r="D32" s="76"/>
      <c r="E32" s="76"/>
      <c r="F32" s="76"/>
      <c r="G32" s="76"/>
      <c r="H32" s="76"/>
      <c r="I32" s="76"/>
      <c r="J32" s="76"/>
      <c r="K32" s="76"/>
      <c r="L32" s="76"/>
    </row>
    <row r="33" spans="1:12" ht="9" customHeight="1">
      <c r="A33" s="63"/>
      <c r="B33" s="58"/>
      <c r="C33" s="58"/>
      <c r="D33" s="76"/>
      <c r="E33" s="76"/>
      <c r="F33" s="76"/>
      <c r="G33" s="76"/>
      <c r="H33" s="76"/>
      <c r="I33" s="76"/>
      <c r="J33" s="76"/>
      <c r="K33" s="76"/>
      <c r="L33" s="58"/>
    </row>
    <row r="34" spans="1:13" ht="12.75">
      <c r="A34" s="36" t="s">
        <v>6</v>
      </c>
      <c r="B34" s="58">
        <f>+ExpRM!B32-ImpRM!B32</f>
        <v>6511.304672690003</v>
      </c>
      <c r="C34" s="58">
        <f>+ExpRM!C32-ImpRM!C32</f>
        <v>2249.707790870001</v>
      </c>
      <c r="D34" s="58">
        <f>+ExpRM!D32-ImpRM!D32</f>
        <v>7179.7850000000035</v>
      </c>
      <c r="E34" s="58">
        <f>+ExpRM!E32-ImpRM!E32</f>
        <v>-6099.261073409971</v>
      </c>
      <c r="F34" s="58">
        <f>+ExpRM!F32-ImpRM!F32</f>
        <v>-2088.129961249997</v>
      </c>
      <c r="G34" s="58">
        <f>+ExpRM!G32-ImpRM!G32</f>
        <v>-591.0270076391325</v>
      </c>
      <c r="H34" s="58">
        <f>+ExpRM!H32-ImpRM!H32</f>
        <v>10156.646235</v>
      </c>
      <c r="I34" s="58">
        <f>+ExpRM!I32-ImpRM!I32</f>
        <v>-900.7171839999996</v>
      </c>
      <c r="J34" s="58">
        <f>+ExpRM!J32-ImpRM!J32</f>
        <v>-3113.6233997000018</v>
      </c>
      <c r="K34" s="58">
        <f>+ExpRM!K32-ImpRM!K32</f>
        <v>-1465.615396000001</v>
      </c>
      <c r="L34" s="58"/>
      <c r="M34" s="11"/>
    </row>
    <row r="35" spans="1:12" ht="12.75">
      <c r="A35" s="74"/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58"/>
    </row>
    <row r="36" spans="1:12" ht="12.75">
      <c r="A36" s="36" t="s">
        <v>24</v>
      </c>
      <c r="B36" s="58">
        <f>+ExpRM!B34-ImpRM!B34</f>
        <v>3694.5296311900092</v>
      </c>
      <c r="C36" s="58">
        <f>+ExpRM!C34-ImpRM!C34</f>
        <v>382.31452619999754</v>
      </c>
      <c r="D36" s="58">
        <f>+ExpRM!D34-ImpRM!D34</f>
        <v>8520.496000000014</v>
      </c>
      <c r="E36" s="58">
        <f>+ExpRM!E34-ImpRM!E34</f>
        <v>10642.621891689945</v>
      </c>
      <c r="F36" s="58">
        <f>+ExpRM!F34-ImpRM!F34</f>
        <v>2783.666118009969</v>
      </c>
      <c r="G36" s="58">
        <f>+ExpRM!G34-ImpRM!G34</f>
        <v>-269.101687360866</v>
      </c>
      <c r="H36" s="58">
        <f>+ExpRM!H34-ImpRM!H34</f>
        <v>-8265.847844999953</v>
      </c>
      <c r="I36" s="58">
        <f>+ExpRM!I34-ImpRM!I34</f>
        <v>-1993.5700450000013</v>
      </c>
      <c r="J36" s="58">
        <f>+ExpRM!J34-ImpRM!J34</f>
        <v>6039.196521799997</v>
      </c>
      <c r="K36" s="58">
        <f>+ExpRM!K34-ImpRM!K34</f>
        <v>-566.9632660000007</v>
      </c>
      <c r="L36" s="58">
        <f>SUM(B36:K36)</f>
        <v>20967.34184552911</v>
      </c>
    </row>
    <row r="37" spans="1:12" ht="6.75" customHeight="1">
      <c r="A37" s="74"/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</row>
    <row r="38" spans="1:12" ht="12.75">
      <c r="A38" s="37" t="s">
        <v>53</v>
      </c>
      <c r="B38" s="58">
        <f>+ExpRM!B36-ImpRM!B36</f>
        <v>-1035.06002299</v>
      </c>
      <c r="C38" s="58">
        <f>+ExpRM!C36-ImpRM!C36</f>
        <v>3.280054829999999</v>
      </c>
      <c r="D38" s="58">
        <f>+ExpRM!D36-ImpRM!D36</f>
        <v>2645.488</v>
      </c>
      <c r="E38" s="58">
        <f>+ExpRM!E36-ImpRM!E36</f>
        <v>-872.0041075799986</v>
      </c>
      <c r="F38" s="58">
        <f>+ExpRM!F36-ImpRM!F36</f>
        <v>2933.5544963500006</v>
      </c>
      <c r="G38" s="58">
        <f>+ExpRM!G36-ImpRM!G36</f>
        <v>87.85724300000032</v>
      </c>
      <c r="H38" s="58">
        <f>+ExpRM!H36-ImpRM!H36</f>
        <v>738.4410049999988</v>
      </c>
      <c r="I38" s="58">
        <f>+ExpRM!I36-ImpRM!I36</f>
        <v>64.94577000000001</v>
      </c>
      <c r="J38" s="58">
        <f>+ExpRM!J36-ImpRM!J36</f>
        <v>152.73936990000007</v>
      </c>
      <c r="K38" s="58">
        <f>+ExpRM!K36-ImpRM!K36</f>
        <v>12.45467</v>
      </c>
      <c r="L38" s="58">
        <f>SUM(B38:K38)</f>
        <v>4731.696478510002</v>
      </c>
    </row>
    <row r="39" spans="1:12" ht="6.75" customHeight="1">
      <c r="A39" s="74"/>
      <c r="B39" s="58"/>
      <c r="C39" s="58"/>
      <c r="D39" s="58"/>
      <c r="E39" s="58"/>
      <c r="F39" s="58"/>
      <c r="G39" s="58"/>
      <c r="H39" s="58"/>
      <c r="I39" s="58"/>
      <c r="J39" s="58"/>
      <c r="K39" s="58"/>
      <c r="L39" s="58"/>
    </row>
    <row r="40" spans="1:12" ht="12.75">
      <c r="A40" s="37" t="s">
        <v>50</v>
      </c>
      <c r="B40" s="58">
        <f>+ExpRM!B38-ImpRM!B38</f>
        <v>1159.6537310800002</v>
      </c>
      <c r="C40" s="58">
        <f>+ExpRM!C38-ImpRM!C38</f>
        <v>71.75048276000001</v>
      </c>
      <c r="D40" s="58">
        <f>+ExpRM!D38-ImpRM!D38</f>
        <v>-178.9090000000001</v>
      </c>
      <c r="E40" s="58">
        <f>+ExpRM!E38-ImpRM!E38</f>
        <v>126.28399917000058</v>
      </c>
      <c r="F40" s="58">
        <f>+ExpRM!F38-ImpRM!F38</f>
        <v>-483.95559333</v>
      </c>
      <c r="G40" s="58">
        <f>+ExpRM!G38-ImpRM!G38</f>
        <v>-123.92200000000001</v>
      </c>
      <c r="H40" s="58">
        <f>+ExpRM!H38-ImpRM!H38</f>
        <v>1036.2887509999991</v>
      </c>
      <c r="I40" s="58">
        <f>+ExpRM!I38-ImpRM!I38</f>
        <v>-8.817171</v>
      </c>
      <c r="J40" s="58">
        <f>+ExpRM!J38-ImpRM!J38</f>
        <v>2178.9157107</v>
      </c>
      <c r="K40" s="58">
        <f>+ExpRM!K38-ImpRM!K38</f>
        <v>11.042570999999999</v>
      </c>
      <c r="L40" s="58">
        <f>SUM(B40:K40)</f>
        <v>3788.33148138</v>
      </c>
    </row>
    <row r="41" spans="1:14" ht="12.75">
      <c r="A41" s="37" t="s">
        <v>13</v>
      </c>
      <c r="B41" s="58">
        <f>+ExpRM!B39-ImpRM!B39</f>
        <v>-3291.1587033799997</v>
      </c>
      <c r="C41" s="58">
        <f>+ExpRM!C39-ImpRM!C39</f>
        <v>562.94253269</v>
      </c>
      <c r="D41" s="58">
        <f>+ExpRM!D39-ImpRM!D39</f>
        <v>-3287.8509999999987</v>
      </c>
      <c r="E41" s="58">
        <f>+ExpRM!E39-ImpRM!E39</f>
        <v>-5296.542507310012</v>
      </c>
      <c r="F41" s="58">
        <f>+ExpRM!F39-ImpRM!F39</f>
        <v>6317.326283790004</v>
      </c>
      <c r="G41" s="58">
        <f>+ExpRM!G39-ImpRM!G39</f>
        <v>3062.5991710000008</v>
      </c>
      <c r="H41" s="58">
        <f>+ExpRM!H39-ImpRM!H39</f>
        <v>76383.763912</v>
      </c>
      <c r="I41" s="58">
        <f>+ExpRM!I39-ImpRM!I39</f>
        <v>-579.151915</v>
      </c>
      <c r="J41" s="58">
        <f>+ExpRM!J39-ImpRM!J39</f>
        <v>-1115.8611634</v>
      </c>
      <c r="K41" s="58">
        <f>+ExpRM!K39-ImpRM!K39</f>
        <v>-575.35679</v>
      </c>
      <c r="L41" s="58">
        <f>SUM(B41:K41)</f>
        <v>72180.70982039</v>
      </c>
      <c r="N41" s="15"/>
    </row>
    <row r="42" spans="1:12" ht="6.75" customHeight="1">
      <c r="A42" s="74"/>
      <c r="B42" s="58"/>
      <c r="C42" s="58"/>
      <c r="D42" s="58"/>
      <c r="E42" s="58"/>
      <c r="F42" s="58"/>
      <c r="G42" s="58"/>
      <c r="H42" s="58"/>
      <c r="I42" s="58"/>
      <c r="J42" s="58"/>
      <c r="K42" s="58"/>
      <c r="L42" s="58"/>
    </row>
    <row r="43" spans="1:14" ht="12.75">
      <c r="A43" s="37" t="s">
        <v>57</v>
      </c>
      <c r="B43" s="58">
        <f>+ExpRM!B41-ImpRM!B41</f>
        <v>50.619695869998395</v>
      </c>
      <c r="C43" s="58">
        <f>+ExpRM!C41-ImpRM!C41</f>
        <v>-69.87924138999995</v>
      </c>
      <c r="D43" s="58">
        <f>+ExpRM!D41-ImpRM!D41</f>
        <v>1419.3810000000012</v>
      </c>
      <c r="E43" s="58">
        <f>+ExpRM!E41-ImpRM!E41</f>
        <v>1657.8082585599986</v>
      </c>
      <c r="F43" s="58">
        <f>+ExpRM!F41-ImpRM!F41</f>
        <v>1331.5191764299989</v>
      </c>
      <c r="G43" s="58">
        <f>+ExpRM!G41-ImpRM!G41</f>
        <v>-203.16636500000004</v>
      </c>
      <c r="H43" s="58">
        <f>+ExpRM!H41-ImpRM!H41</f>
        <v>-14116.106239999997</v>
      </c>
      <c r="I43" s="58">
        <f>+ExpRM!I41-ImpRM!I41</f>
        <v>356.162192</v>
      </c>
      <c r="J43" s="58">
        <f>+ExpRM!J41-ImpRM!J41</f>
        <v>2280.0468790999994</v>
      </c>
      <c r="K43" s="58">
        <f>+ExpRM!K41-ImpRM!K41</f>
        <v>-310.8463220000001</v>
      </c>
      <c r="L43" s="58">
        <f>SUM(B43:K43)</f>
        <v>-7604.460966430002</v>
      </c>
      <c r="N43" s="15"/>
    </row>
    <row r="44" spans="1:12" ht="7.5" customHeight="1">
      <c r="A44" s="74"/>
      <c r="B44" s="58"/>
      <c r="C44" s="58"/>
      <c r="D44" s="58"/>
      <c r="E44" s="58"/>
      <c r="F44" s="58"/>
      <c r="G44" s="58"/>
      <c r="H44" s="58"/>
      <c r="I44" s="58"/>
      <c r="J44" s="58"/>
      <c r="K44" s="58"/>
      <c r="L44" s="58"/>
    </row>
    <row r="45" spans="1:12" ht="12.75">
      <c r="A45" s="37" t="s">
        <v>14</v>
      </c>
      <c r="B45" s="58">
        <f>+ExpRM!B43-ImpRM!B43</f>
        <v>-263.07757114000015</v>
      </c>
      <c r="C45" s="58">
        <f>+ExpRM!C43-ImpRM!C43</f>
        <v>88.38633245000003</v>
      </c>
      <c r="D45" s="58">
        <f>+ExpRM!D43-ImpRM!D43</f>
        <v>-463.15499999999975</v>
      </c>
      <c r="E45" s="58">
        <f>+ExpRM!E43-ImpRM!E43</f>
        <v>4900.022764239996</v>
      </c>
      <c r="F45" s="58">
        <f>+ExpRM!F43-ImpRM!F43</f>
        <v>-979.76621998</v>
      </c>
      <c r="G45" s="58">
        <f>+ExpRM!G43-ImpRM!G43</f>
        <v>-104.292395</v>
      </c>
      <c r="H45" s="58">
        <f>+ExpRM!H43-ImpRM!H43</f>
        <v>-10938.874213</v>
      </c>
      <c r="I45" s="58">
        <f>+ExpRM!I43-ImpRM!I43</f>
        <v>-207.87640900000002</v>
      </c>
      <c r="J45" s="58">
        <f>+ExpRM!J43-ImpRM!J43</f>
        <v>783.1357721999998</v>
      </c>
      <c r="K45" s="58">
        <f>+ExpRM!K43-ImpRM!K43</f>
        <v>-69.493535</v>
      </c>
      <c r="L45" s="58">
        <f>SUM(B45:K45)</f>
        <v>-7254.990474230004</v>
      </c>
    </row>
    <row r="46" spans="1:12" ht="7.5" customHeight="1">
      <c r="A46" s="74"/>
      <c r="B46" s="58"/>
      <c r="C46" s="58"/>
      <c r="D46" s="58"/>
      <c r="E46" s="58"/>
      <c r="F46" s="58"/>
      <c r="G46" s="58"/>
      <c r="H46" s="58"/>
      <c r="I46" s="58"/>
      <c r="J46" s="58"/>
      <c r="K46" s="58"/>
      <c r="L46" s="58"/>
    </row>
    <row r="47" spans="1:12" ht="12.75">
      <c r="A47" s="37" t="s">
        <v>15</v>
      </c>
      <c r="B47" s="58">
        <f>+ExpRM!B44-ImpRM!B44</f>
        <v>-2767.9478313599993</v>
      </c>
      <c r="C47" s="58">
        <f>+ExpRM!C44-ImpRM!C44</f>
        <v>-533.85931522</v>
      </c>
      <c r="D47" s="58">
        <f>+ExpRM!D44-ImpRM!D44</f>
        <v>8382.587000000003</v>
      </c>
      <c r="E47" s="58">
        <f>+ExpRM!E44-ImpRM!E44</f>
        <v>3925.541238409951</v>
      </c>
      <c r="F47" s="58">
        <f>+ExpRM!F44-ImpRM!F44</f>
        <v>-4525.86640198</v>
      </c>
      <c r="G47" s="58">
        <f>+ExpRM!G44-ImpRM!G44</f>
        <v>-1989.69322</v>
      </c>
      <c r="H47" s="58">
        <f>+ExpRM!H44-ImpRM!H44</f>
        <v>-36555.418085</v>
      </c>
      <c r="I47" s="58">
        <f>+ExpRM!I44-ImpRM!I44</f>
        <v>-2255.855566</v>
      </c>
      <c r="J47" s="58">
        <f>+ExpRM!J44-ImpRM!J44</f>
        <v>60.99331020000045</v>
      </c>
      <c r="K47" s="58">
        <f>+ExpRM!K44-ImpRM!K44</f>
        <v>-455.1951590000001</v>
      </c>
      <c r="L47" s="58">
        <f>SUM(B47:K47)</f>
        <v>-36714.714029950046</v>
      </c>
    </row>
    <row r="48" spans="1:12" ht="7.5" customHeight="1">
      <c r="A48" s="74"/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</row>
    <row r="49" spans="1:12" ht="12.75">
      <c r="A49" s="37" t="s">
        <v>27</v>
      </c>
      <c r="B49" s="58">
        <f>+ExpRM!B45-ImpRM!B45</f>
        <v>1599.6333154099998</v>
      </c>
      <c r="C49" s="58">
        <f>+ExpRM!C45-ImpRM!C45</f>
        <v>96.73413912999999</v>
      </c>
      <c r="D49" s="58">
        <f>+ExpRM!D45-ImpRM!D45</f>
        <v>-4448.858</v>
      </c>
      <c r="E49" s="58">
        <f>+ExpRM!E45-ImpRM!E45</f>
        <v>2570.3073529699973</v>
      </c>
      <c r="F49" s="58">
        <f>+ExpRM!F45-ImpRM!F45</f>
        <v>-1054.8274855899995</v>
      </c>
      <c r="G49" s="58">
        <f>+ExpRM!G45-ImpRM!G45</f>
        <v>-1090.4103830000001</v>
      </c>
      <c r="H49" s="58">
        <f>+ExpRM!H45-ImpRM!H45</f>
        <v>-20905.846887999996</v>
      </c>
      <c r="I49" s="58">
        <f>+ExpRM!I45-ImpRM!I45</f>
        <v>-264.37875799999995</v>
      </c>
      <c r="J49" s="58">
        <f>+ExpRM!J45-ImpRM!J45</f>
        <v>-552.9864013999997</v>
      </c>
      <c r="K49" s="58">
        <f>+ExpRM!K45-ImpRM!K45</f>
        <v>-259.96212599999996</v>
      </c>
      <c r="L49" s="58">
        <f>SUM(B49:K49)</f>
        <v>-24310.59523448</v>
      </c>
    </row>
    <row r="50" spans="1:12" ht="7.5" customHeight="1">
      <c r="A50" s="74"/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</row>
    <row r="51" spans="1:12" ht="12.75">
      <c r="A51" s="37" t="s">
        <v>22</v>
      </c>
      <c r="B51" s="58">
        <f>+ExpRM!B47-ImpRM!B47</f>
        <v>8241.86701770001</v>
      </c>
      <c r="C51" s="58">
        <f>+ExpRM!C47-ImpRM!C47</f>
        <v>162.9595409499975</v>
      </c>
      <c r="D51" s="58">
        <f>+ExpRM!D47-ImpRM!D47</f>
        <v>4451.813000000002</v>
      </c>
      <c r="E51" s="58">
        <f>+ExpRM!E47-ImpRM!E47</f>
        <v>3631.2048932300136</v>
      </c>
      <c r="F51" s="58">
        <f>+ExpRM!F47-ImpRM!F47</f>
        <v>-754.318137680039</v>
      </c>
      <c r="G51" s="58">
        <f>+ExpRM!G47-ImpRM!G47</f>
        <v>91.92626163913314</v>
      </c>
      <c r="H51" s="58">
        <f>+ExpRM!H47-ImpRM!H47</f>
        <v>-3908.0960870000135</v>
      </c>
      <c r="I51" s="58">
        <f>+ExpRM!I47-ImpRM!I47</f>
        <v>901.4018119999989</v>
      </c>
      <c r="J51" s="58">
        <f>+ExpRM!J47-ImpRM!J47</f>
        <v>2252.2130444999975</v>
      </c>
      <c r="K51" s="58">
        <f>+ExpRM!K47-ImpRM!K47</f>
        <v>1080.3934249999998</v>
      </c>
      <c r="L51" s="58">
        <f>SUM(B51:K51)</f>
        <v>16151.364770339102</v>
      </c>
    </row>
    <row r="52" spans="1:12" ht="9" customHeight="1">
      <c r="A52" s="74"/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</row>
    <row r="53" spans="1:12" ht="12.75">
      <c r="A53" s="75" t="s">
        <v>23</v>
      </c>
      <c r="B53" s="58">
        <f>+ExpRM!B49-ImpRM!B49</f>
        <v>10205.834303880009</v>
      </c>
      <c r="C53" s="58">
        <f>+ExpRM!C49-ImpRM!C49</f>
        <v>2632.022317069999</v>
      </c>
      <c r="D53" s="58">
        <f>+ExpRM!D49-ImpRM!D49</f>
        <v>15700.281000000017</v>
      </c>
      <c r="E53" s="58">
        <f>+ExpRM!E49-ImpRM!E49</f>
        <v>4543.360818279973</v>
      </c>
      <c r="F53" s="58">
        <f>+ExpRM!F49-ImpRM!F49</f>
        <v>695.5361567599757</v>
      </c>
      <c r="G53" s="58">
        <f>+ExpRM!G49-ImpRM!G49</f>
        <v>-860.1286949999994</v>
      </c>
      <c r="H53" s="58">
        <f>+ExpRM!H49-ImpRM!H49</f>
        <v>1890.798390000069</v>
      </c>
      <c r="I53" s="58">
        <f>+ExpRM!I49-ImpRM!I49</f>
        <v>-2894.2872290000014</v>
      </c>
      <c r="J53" s="58">
        <f>+ExpRM!J49-ImpRM!J49</f>
        <v>2925.573122099995</v>
      </c>
      <c r="K53" s="58">
        <f>+ExpRM!K49-ImpRM!K49</f>
        <v>-2032.5786620000017</v>
      </c>
      <c r="L53" s="58">
        <f>SUM(B53:K53)</f>
        <v>32806.411522090035</v>
      </c>
    </row>
    <row r="54" spans="1:12" ht="9" customHeight="1" thickBot="1">
      <c r="A54" s="59"/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</row>
    <row r="55" spans="1:12" ht="2.25" customHeight="1">
      <c r="A55" s="69"/>
      <c r="B55" s="70"/>
      <c r="C55" s="70"/>
      <c r="D55" s="70"/>
      <c r="E55" s="70"/>
      <c r="F55" s="70"/>
      <c r="G55" s="70"/>
      <c r="H55" s="70"/>
      <c r="I55" s="70"/>
      <c r="J55" s="70"/>
      <c r="K55" s="70"/>
      <c r="L55" s="70"/>
    </row>
    <row r="56" spans="1:12" s="12" customFormat="1" ht="12">
      <c r="A56" s="56" t="s">
        <v>42</v>
      </c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</row>
    <row r="57" spans="1:12" s="12" customFormat="1" ht="12">
      <c r="A57" s="56" t="str">
        <f>+Imp!A63</f>
        <v> Nota: importaciones a valores CIF excepto Brasil y México a valores FOB</v>
      </c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</row>
    <row r="58" spans="2:12" s="12" customFormat="1" ht="12"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ALADI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Garimon</dc:creator>
  <cp:keywords/>
  <dc:description/>
  <cp:lastModifiedBy>Fernando Correa</cp:lastModifiedBy>
  <cp:lastPrinted>2013-07-04T15:13:55Z</cp:lastPrinted>
  <dcterms:created xsi:type="dcterms:W3CDTF">2004-06-14T13:52:53Z</dcterms:created>
  <dcterms:modified xsi:type="dcterms:W3CDTF">2013-12-02T19:28:06Z</dcterms:modified>
  <cp:category/>
  <cp:version/>
  <cp:contentType/>
  <cp:contentStatus/>
</cp:coreProperties>
</file>